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Datamap Frans\Documenten\1. Documentmappen van Frans\1. MijnDuurzameEnergie\MijnExcelBestanden\"/>
    </mc:Choice>
  </mc:AlternateContent>
  <xr:revisionPtr revIDLastSave="0" documentId="13_ncr:1_{15BC2DDA-8ED6-4D74-9919-714B8D2F7C7D}" xr6:coauthVersionLast="47" xr6:coauthVersionMax="47" xr10:uidLastSave="{00000000-0000-0000-0000-000000000000}"/>
  <workbookProtection workbookAlgorithmName="SHA-512" workbookHashValue="reoBGfagpabSLTUtxT+3wpSPPo8dFx9P3sTJEj1U2V7XGZMIw1Vfv2dvTYuOXKlNiM4dpohOPU/WT9egC3XoiA==" workbookSaltValue="/cR1Ld+30m/pjCpdRa/d1w==" workbookSpinCount="100000" lockStructure="1"/>
  <bookViews>
    <workbookView xWindow="-120" yWindow="-120" windowWidth="29040" windowHeight="18240" tabRatio="762" activeTab="1" xr2:uid="{3429E117-EBBD-4493-8916-DB18A94243BD}"/>
  </bookViews>
  <sheets>
    <sheet name="Ta stooklijnen" sheetId="14" r:id="rId1"/>
    <sheet name="Grafiek stooklijnen" sheetId="15" r:id="rId2"/>
    <sheet name="Vertragingslijnen" sheetId="11" r:id="rId3"/>
    <sheet name="Grafiek vertragingslijnen" sheetId="13" r:id="rId4"/>
  </sheets>
  <definedNames>
    <definedName name="_xlnm.Print_Area" localSheetId="0">'Ta stooklijnen'!$B$2:$O$43</definedName>
    <definedName name="Stooklijn" localSheetId="0">'Ta stooklijnen'!$E$9:$O$9</definedName>
    <definedName name="Tb_sensor">'Ta stooklijnen'!$O$7</definedName>
    <definedName name="Tbuiten" localSheetId="0">'Ta stooklijnen'!$B$10:$B$40</definedName>
    <definedName name="Tk_gewenst" localSheetId="0">'Ta stooklijnen'!$O$5</definedName>
    <definedName name="Tvoetpunt" localSheetId="0">'Ta stooklijnen'!$C$10:$C$40</definedName>
    <definedName name="Voetpunt" localSheetId="0">'Ta stooklijnen'!$C$7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 i="14" l="1"/>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O10" i="14" l="1"/>
  <c r="N10" i="14"/>
  <c r="M10" i="14"/>
  <c r="L10" i="14"/>
  <c r="K10" i="14"/>
  <c r="J10" i="14"/>
  <c r="I10" i="14"/>
  <c r="H10" i="14"/>
  <c r="G10" i="14"/>
  <c r="F10" i="14"/>
  <c r="O40" i="14"/>
  <c r="N40" i="14"/>
  <c r="M40" i="14"/>
  <c r="L40" i="14"/>
  <c r="K40" i="14"/>
  <c r="J40" i="14"/>
  <c r="I40" i="14"/>
  <c r="H40" i="14"/>
  <c r="G40" i="14"/>
  <c r="O39" i="14"/>
  <c r="N39" i="14"/>
  <c r="M39" i="14"/>
  <c r="L39" i="14"/>
  <c r="K39" i="14"/>
  <c r="J39" i="14"/>
  <c r="I39" i="14"/>
  <c r="H39" i="14"/>
  <c r="G39" i="14"/>
  <c r="O38" i="14"/>
  <c r="N38" i="14"/>
  <c r="M38" i="14"/>
  <c r="L38" i="14"/>
  <c r="K38" i="14"/>
  <c r="J38" i="14"/>
  <c r="I38" i="14"/>
  <c r="H38" i="14"/>
  <c r="G38" i="14"/>
  <c r="O37" i="14"/>
  <c r="N37" i="14"/>
  <c r="M37" i="14"/>
  <c r="L37" i="14"/>
  <c r="K37" i="14"/>
  <c r="J37" i="14"/>
  <c r="I37" i="14"/>
  <c r="H37" i="14"/>
  <c r="G37" i="14"/>
  <c r="O36" i="14"/>
  <c r="N36" i="14"/>
  <c r="M36" i="14"/>
  <c r="L36" i="14"/>
  <c r="K36" i="14"/>
  <c r="J36" i="14"/>
  <c r="I36" i="14"/>
  <c r="H36" i="14"/>
  <c r="G36" i="14"/>
  <c r="O35" i="14"/>
  <c r="N35" i="14"/>
  <c r="M35" i="14"/>
  <c r="L35" i="14"/>
  <c r="K35" i="14"/>
  <c r="J35" i="14"/>
  <c r="I35" i="14"/>
  <c r="H35" i="14"/>
  <c r="G35" i="14"/>
  <c r="O34" i="14"/>
  <c r="N34" i="14"/>
  <c r="M34" i="14"/>
  <c r="L34" i="14"/>
  <c r="K34" i="14"/>
  <c r="J34" i="14"/>
  <c r="I34" i="14"/>
  <c r="H34" i="14"/>
  <c r="G34" i="14"/>
  <c r="O33" i="14"/>
  <c r="N33" i="14"/>
  <c r="M33" i="14"/>
  <c r="L33" i="14"/>
  <c r="K33" i="14"/>
  <c r="J33" i="14"/>
  <c r="I33" i="14"/>
  <c r="H33" i="14"/>
  <c r="G33" i="14"/>
  <c r="O32" i="14"/>
  <c r="N32" i="14"/>
  <c r="M32" i="14"/>
  <c r="L32" i="14"/>
  <c r="K32" i="14"/>
  <c r="J32" i="14"/>
  <c r="I32" i="14"/>
  <c r="H32" i="14"/>
  <c r="G32" i="14"/>
  <c r="O31" i="14"/>
  <c r="N31" i="14"/>
  <c r="M31" i="14"/>
  <c r="L31" i="14"/>
  <c r="K31" i="14"/>
  <c r="J31" i="14"/>
  <c r="I31" i="14"/>
  <c r="H31" i="14"/>
  <c r="G31" i="14"/>
  <c r="O30" i="14"/>
  <c r="N30" i="14"/>
  <c r="M30" i="14"/>
  <c r="L30" i="14"/>
  <c r="K30" i="14"/>
  <c r="J30" i="14"/>
  <c r="I30" i="14"/>
  <c r="H30" i="14"/>
  <c r="G30" i="14"/>
  <c r="O29" i="14"/>
  <c r="N29" i="14"/>
  <c r="M29" i="14"/>
  <c r="L29" i="14"/>
  <c r="K29" i="14"/>
  <c r="J29" i="14"/>
  <c r="I29" i="14"/>
  <c r="H29" i="14"/>
  <c r="G29" i="14"/>
  <c r="O28" i="14"/>
  <c r="N28" i="14"/>
  <c r="M28" i="14"/>
  <c r="L28" i="14"/>
  <c r="K28" i="14"/>
  <c r="J28" i="14"/>
  <c r="I28" i="14"/>
  <c r="H28" i="14"/>
  <c r="G28" i="14"/>
  <c r="O27" i="14"/>
  <c r="N27" i="14"/>
  <c r="M27" i="14"/>
  <c r="L27" i="14"/>
  <c r="K27" i="14"/>
  <c r="J27" i="14"/>
  <c r="I27" i="14"/>
  <c r="H27" i="14"/>
  <c r="G27" i="14"/>
  <c r="O26" i="14"/>
  <c r="N26" i="14"/>
  <c r="M26" i="14"/>
  <c r="L26" i="14"/>
  <c r="K26" i="14"/>
  <c r="J26" i="14"/>
  <c r="I26" i="14"/>
  <c r="H26" i="14"/>
  <c r="G26" i="14"/>
  <c r="O25" i="14"/>
  <c r="N25" i="14"/>
  <c r="M25" i="14"/>
  <c r="L25" i="14"/>
  <c r="K25" i="14"/>
  <c r="J25" i="14"/>
  <c r="I25" i="14"/>
  <c r="H25" i="14"/>
  <c r="G25" i="14"/>
  <c r="O24" i="14"/>
  <c r="N24" i="14"/>
  <c r="M24" i="14"/>
  <c r="L24" i="14"/>
  <c r="K24" i="14"/>
  <c r="J24" i="14"/>
  <c r="I24" i="14"/>
  <c r="H24" i="14"/>
  <c r="G24" i="14"/>
  <c r="O23" i="14"/>
  <c r="N23" i="14"/>
  <c r="M23" i="14"/>
  <c r="L23" i="14"/>
  <c r="K23" i="14"/>
  <c r="J23" i="14"/>
  <c r="I23" i="14"/>
  <c r="H23" i="14"/>
  <c r="G23" i="14"/>
  <c r="O22" i="14"/>
  <c r="N22" i="14"/>
  <c r="M22" i="14"/>
  <c r="L22" i="14"/>
  <c r="K22" i="14"/>
  <c r="J22" i="14"/>
  <c r="I22" i="14"/>
  <c r="H22" i="14"/>
  <c r="G22" i="14"/>
  <c r="O21" i="14"/>
  <c r="N21" i="14"/>
  <c r="M21" i="14"/>
  <c r="L21" i="14"/>
  <c r="K21" i="14"/>
  <c r="J21" i="14"/>
  <c r="I21" i="14"/>
  <c r="H21" i="14"/>
  <c r="G21" i="14"/>
  <c r="O20" i="14"/>
  <c r="N20" i="14"/>
  <c r="M20" i="14"/>
  <c r="L20" i="14"/>
  <c r="K20" i="14"/>
  <c r="J20" i="14"/>
  <c r="I20" i="14"/>
  <c r="H20" i="14"/>
  <c r="G20" i="14"/>
  <c r="O19" i="14"/>
  <c r="N19" i="14"/>
  <c r="M19" i="14"/>
  <c r="L19" i="14"/>
  <c r="K19" i="14"/>
  <c r="J19" i="14"/>
  <c r="I19" i="14"/>
  <c r="H19" i="14"/>
  <c r="G19" i="14"/>
  <c r="O18" i="14"/>
  <c r="N18" i="14"/>
  <c r="M18" i="14"/>
  <c r="L18" i="14"/>
  <c r="K18" i="14"/>
  <c r="J18" i="14"/>
  <c r="I18" i="14"/>
  <c r="H18" i="14"/>
  <c r="G18" i="14"/>
  <c r="O17" i="14"/>
  <c r="N17" i="14"/>
  <c r="M17" i="14"/>
  <c r="L17" i="14"/>
  <c r="K17" i="14"/>
  <c r="J17" i="14"/>
  <c r="I17" i="14"/>
  <c r="H17" i="14"/>
  <c r="G17" i="14"/>
  <c r="O16" i="14"/>
  <c r="N16" i="14"/>
  <c r="M16" i="14"/>
  <c r="L16" i="14"/>
  <c r="K16" i="14"/>
  <c r="J16" i="14"/>
  <c r="I16" i="14"/>
  <c r="H16" i="14"/>
  <c r="G16" i="14"/>
  <c r="O15" i="14"/>
  <c r="N15" i="14"/>
  <c r="M15" i="14"/>
  <c r="L15" i="14"/>
  <c r="K15" i="14"/>
  <c r="J15" i="14"/>
  <c r="I15" i="14"/>
  <c r="H15" i="14"/>
  <c r="G15" i="14"/>
  <c r="O14" i="14"/>
  <c r="N14" i="14"/>
  <c r="M14" i="14"/>
  <c r="L14" i="14"/>
  <c r="K14" i="14"/>
  <c r="J14" i="14"/>
  <c r="I14" i="14"/>
  <c r="H14" i="14"/>
  <c r="G14" i="14"/>
  <c r="O13" i="14"/>
  <c r="N13" i="14"/>
  <c r="M13" i="14"/>
  <c r="L13" i="14"/>
  <c r="K13" i="14"/>
  <c r="J13" i="14"/>
  <c r="I13" i="14"/>
  <c r="H13" i="14"/>
  <c r="G13" i="14"/>
  <c r="O12" i="14"/>
  <c r="N12" i="14"/>
  <c r="M12" i="14"/>
  <c r="L12" i="14"/>
  <c r="K12" i="14"/>
  <c r="J12" i="14"/>
  <c r="I12" i="14"/>
  <c r="H12" i="14"/>
  <c r="G12" i="14"/>
  <c r="O11" i="14"/>
  <c r="N11" i="14"/>
  <c r="M11" i="14"/>
  <c r="L11" i="14"/>
  <c r="K11" i="14"/>
  <c r="J11" i="14"/>
  <c r="I11" i="14"/>
  <c r="H11" i="14"/>
  <c r="G11"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12" i="14"/>
  <c r="F13" i="14"/>
  <c r="F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11" i="14"/>
  <c r="E10" i="14"/>
  <c r="AQ11" i="14"/>
  <c r="AQ10" i="14"/>
  <c r="V32" i="14"/>
  <c r="Y32" i="14"/>
  <c r="X32" i="14"/>
  <c r="W32" i="14"/>
  <c r="AE24" i="14"/>
  <c r="AD24" i="14"/>
  <c r="AC24" i="14"/>
  <c r="X24" i="14"/>
  <c r="U32" i="14" l="1"/>
  <c r="AA24" i="14"/>
  <c r="AD32" i="14"/>
  <c r="AC18" i="14"/>
  <c r="W18" i="14"/>
  <c r="W24" i="14"/>
  <c r="AE18" i="14"/>
  <c r="Y24" i="14"/>
  <c r="Y18" i="14"/>
  <c r="AB32" i="14"/>
  <c r="V24" i="14" l="1"/>
  <c r="AL11" i="14"/>
  <c r="AL10" i="14"/>
  <c r="F9" i="14"/>
  <c r="E16" i="11"/>
  <c r="E7" i="11" s="1"/>
  <c r="E9" i="11"/>
  <c r="E8" i="11"/>
  <c r="E6" i="11"/>
  <c r="AP11" i="14"/>
  <c r="AP10" i="14"/>
  <c r="AO11" i="14"/>
  <c r="AO10" i="14"/>
  <c r="AK10" i="14"/>
  <c r="AK11" i="14"/>
  <c r="G9" i="14" l="1"/>
  <c r="U24" i="14"/>
  <c r="E33" i="11"/>
  <c r="E32" i="11"/>
  <c r="AB18" i="14"/>
  <c r="X18" i="14"/>
  <c r="AA32" i="14"/>
  <c r="E36" i="11"/>
  <c r="H37" i="11"/>
  <c r="H9" i="14" l="1"/>
  <c r="E34" i="11"/>
  <c r="AA18" i="14"/>
  <c r="U18" i="14"/>
  <c r="M37" i="11"/>
  <c r="M8" i="11" s="1"/>
  <c r="M9" i="11" s="1"/>
  <c r="M10" i="11" s="1"/>
  <c r="M11" i="11" s="1"/>
  <c r="M12" i="11" s="1"/>
  <c r="M13" i="11" s="1"/>
  <c r="M14" i="11" s="1"/>
  <c r="M15" i="11" s="1"/>
  <c r="M16" i="11" s="1"/>
  <c r="M17" i="11" s="1"/>
  <c r="M18" i="11" s="1"/>
  <c r="M19" i="11" s="1"/>
  <c r="M20" i="11" s="1"/>
  <c r="M21" i="11" s="1"/>
  <c r="M22" i="11" s="1"/>
  <c r="M23" i="11" s="1"/>
  <c r="M24" i="11" s="1"/>
  <c r="M25" i="11" s="1"/>
  <c r="M26" i="11" s="1"/>
  <c r="M27" i="11" s="1"/>
  <c r="M28" i="11" s="1"/>
  <c r="M29" i="11" s="1"/>
  <c r="M30" i="11" s="1"/>
  <c r="M31" i="11" s="1"/>
  <c r="M32" i="11" s="1"/>
  <c r="M33" i="11" s="1"/>
  <c r="M34" i="11" s="1"/>
  <c r="L37" i="11"/>
  <c r="L10" i="11" s="1"/>
  <c r="L11" i="11" s="1"/>
  <c r="L12" i="11" s="1"/>
  <c r="L13" i="11" s="1"/>
  <c r="L14" i="11" s="1"/>
  <c r="L15" i="11" s="1"/>
  <c r="L16" i="11" s="1"/>
  <c r="L17" i="11" s="1"/>
  <c r="L18" i="11" s="1"/>
  <c r="L19" i="11" s="1"/>
  <c r="L20" i="11" s="1"/>
  <c r="L21" i="11" s="1"/>
  <c r="L22" i="11" s="1"/>
  <c r="L23" i="11" s="1"/>
  <c r="L24" i="11" s="1"/>
  <c r="L25" i="11" s="1"/>
  <c r="L26" i="11" s="1"/>
  <c r="L27" i="11" s="1"/>
  <c r="L28" i="11" s="1"/>
  <c r="L29" i="11" s="1"/>
  <c r="L30" i="11" s="1"/>
  <c r="L31" i="11" s="1"/>
  <c r="L32" i="11" s="1"/>
  <c r="L33" i="11" s="1"/>
  <c r="L34" i="11" s="1"/>
  <c r="K37" i="11"/>
  <c r="I37" i="11"/>
  <c r="I10" i="11" s="1"/>
  <c r="I11" i="11" s="1"/>
  <c r="I12" i="11" s="1"/>
  <c r="I13" i="11" s="1"/>
  <c r="I14" i="11" s="1"/>
  <c r="I15" i="11" s="1"/>
  <c r="I16" i="11" s="1"/>
  <c r="I17" i="11" s="1"/>
  <c r="I18" i="11" s="1"/>
  <c r="I19" i="11" s="1"/>
  <c r="I20" i="11" s="1"/>
  <c r="I21" i="11" s="1"/>
  <c r="I22" i="11" s="1"/>
  <c r="I23" i="11" s="1"/>
  <c r="I24" i="11" s="1"/>
  <c r="I25" i="11" s="1"/>
  <c r="I26" i="11" s="1"/>
  <c r="J37" i="11"/>
  <c r="J8" i="11" s="1"/>
  <c r="J9" i="11" s="1"/>
  <c r="J10" i="11" s="1"/>
  <c r="J11" i="11" s="1"/>
  <c r="J12" i="11" s="1"/>
  <c r="J13" i="11" s="1"/>
  <c r="J14" i="11" s="1"/>
  <c r="J15" i="11" s="1"/>
  <c r="J16" i="11" s="1"/>
  <c r="J17" i="11" s="1"/>
  <c r="J18" i="11" s="1"/>
  <c r="J19" i="11" s="1"/>
  <c r="J20" i="11" s="1"/>
  <c r="J21" i="11" s="1"/>
  <c r="J22" i="11" s="1"/>
  <c r="J23" i="11" s="1"/>
  <c r="J24" i="11" s="1"/>
  <c r="J25" i="11" s="1"/>
  <c r="J26" i="11" s="1"/>
  <c r="J27" i="11" s="1"/>
  <c r="J28" i="11" s="1"/>
  <c r="J29" i="11" s="1"/>
  <c r="J30" i="11" s="1"/>
  <c r="J31" i="11" s="1"/>
  <c r="J32" i="11" s="1"/>
  <c r="J33" i="11" s="1"/>
  <c r="J34" i="11" s="1"/>
  <c r="I9" i="14" l="1"/>
  <c r="Z18" i="14"/>
  <c r="E37" i="11"/>
  <c r="N5" i="11" s="1"/>
  <c r="N6" i="11" s="1"/>
  <c r="N7" i="11" s="1"/>
  <c r="N8" i="11" s="1"/>
  <c r="N9" i="11" s="1"/>
  <c r="N10" i="11" s="1"/>
  <c r="N11" i="11" s="1"/>
  <c r="N12" i="11" s="1"/>
  <c r="N13" i="11" s="1"/>
  <c r="N14" i="11" s="1"/>
  <c r="N15" i="11" s="1"/>
  <c r="N16" i="11" s="1"/>
  <c r="N17" i="11" s="1"/>
  <c r="N18" i="11" s="1"/>
  <c r="N19" i="11" s="1"/>
  <c r="N20" i="11" s="1"/>
  <c r="N21" i="11" s="1"/>
  <c r="N22" i="11" s="1"/>
  <c r="N23" i="11" s="1"/>
  <c r="H10" i="11"/>
  <c r="H11" i="11" s="1"/>
  <c r="H12" i="11" s="1"/>
  <c r="H13" i="11" s="1"/>
  <c r="H14" i="11" s="1"/>
  <c r="H15" i="11" s="1"/>
  <c r="H16" i="11" s="1"/>
  <c r="H17" i="11" s="1"/>
  <c r="H18" i="11" s="1"/>
  <c r="H19" i="11" s="1"/>
  <c r="N24" i="11" l="1"/>
  <c r="N25" i="11" s="1"/>
  <c r="N26" i="11" s="1"/>
  <c r="N27" i="11" s="1"/>
  <c r="N28" i="11" s="1"/>
  <c r="N29" i="11" s="1"/>
  <c r="N30" i="11" s="1"/>
  <c r="N31" i="11" s="1"/>
  <c r="N32" i="11" s="1"/>
  <c r="N33" i="11" s="1"/>
  <c r="N34" i="11" s="1"/>
  <c r="N35" i="11" s="1"/>
  <c r="J9" i="14"/>
  <c r="K8" i="11"/>
  <c r="K9" i="11" s="1"/>
  <c r="K10" i="11" s="1"/>
  <c r="K11" i="11" s="1"/>
  <c r="K12" i="11" s="1"/>
  <c r="K13" i="11" s="1"/>
  <c r="K14" i="11" s="1"/>
  <c r="K15" i="11" s="1"/>
  <c r="K16" i="11" s="1"/>
  <c r="K17" i="11" s="1"/>
  <c r="K9" i="14" l="1"/>
  <c r="L9" i="14" l="1"/>
  <c r="M9" i="14" l="1"/>
  <c r="N9" i="14" l="1"/>
  <c r="AG15" i="14" l="1"/>
  <c r="AG16" i="14"/>
  <c r="AG11" i="14"/>
  <c r="AG10" i="14"/>
  <c r="AG26" i="14"/>
  <c r="AG13" i="14"/>
  <c r="AG29" i="14"/>
  <c r="AG25" i="14"/>
  <c r="AG37" i="14"/>
  <c r="AG19" i="14"/>
  <c r="AG32" i="14"/>
  <c r="AG27" i="14"/>
  <c r="AG20" i="14"/>
  <c r="AG38" i="14"/>
  <c r="AG28" i="14"/>
  <c r="AG31" i="14"/>
  <c r="AG40" i="14"/>
  <c r="AG35" i="14"/>
  <c r="AG18" i="14"/>
  <c r="AG34" i="14"/>
  <c r="AG21" i="14"/>
  <c r="AG30" i="14"/>
  <c r="AG39" i="14"/>
  <c r="AG33" i="14"/>
  <c r="AG12" i="14"/>
  <c r="AG17" i="14"/>
  <c r="AG14" i="14"/>
  <c r="AG23" i="14"/>
  <c r="AG36" i="14"/>
  <c r="AG22" i="14"/>
  <c r="AG24" i="14"/>
  <c r="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NAV</author>
    <author>NAVTAC/Bönig</author>
  </authors>
  <commentList>
    <comment ref="B5" authorId="0" shapeId="0" xr:uid="{16917CA4-85DA-468D-B251-5D4A5DCFBAED}">
      <text>
        <r>
          <rPr>
            <sz val="9"/>
            <color indexed="81"/>
            <rFont val="Tahoma"/>
            <family val="2"/>
          </rPr>
          <t xml:space="preserve">Voor stooklijngradiënten lager dan 0.7 dient u </t>
        </r>
        <r>
          <rPr>
            <b/>
            <sz val="9"/>
            <color indexed="81"/>
            <rFont val="Tahoma"/>
            <family val="2"/>
          </rPr>
          <t>eerst</t>
        </r>
        <r>
          <rPr>
            <sz val="9"/>
            <color indexed="81"/>
            <rFont val="Tahoma"/>
            <family val="2"/>
          </rPr>
          <t xml:space="preserve"> cel E9 in te stellen op 0.0.</t>
        </r>
      </text>
    </comment>
    <comment ref="H5" authorId="0" shapeId="0" xr:uid="{6BC6EE3D-8317-4720-9A6E-156DAA02B50A}">
      <text>
        <r>
          <rPr>
            <sz val="9"/>
            <color indexed="81"/>
            <rFont val="Tahoma"/>
            <family val="2"/>
          </rPr>
          <t>HP000 is cv-ketelgrens. Hierboven geen ketelinzet.</t>
        </r>
      </text>
    </comment>
    <comment ref="K5" authorId="0" shapeId="0" xr:uid="{79327058-168E-4D06-BB9D-272FDE2099B4}">
      <text>
        <r>
          <rPr>
            <sz val="9"/>
            <color indexed="81"/>
            <rFont val="Tahoma"/>
            <family val="2"/>
          </rPr>
          <t xml:space="preserve">AP063 begrenst Ta van gasketel op een maximale waarde.
</t>
        </r>
      </text>
    </comment>
    <comment ref="N5" authorId="1" shapeId="0" xr:uid="{798EB83E-8D20-4DCB-8819-BB79D4B58E1F}">
      <text>
        <r>
          <rPr>
            <sz val="9"/>
            <color indexed="81"/>
            <rFont val="Tahoma"/>
            <family val="2"/>
          </rPr>
          <t>Kamerrichttemperatuur zoals ingevoerd op de eTwist.</t>
        </r>
      </text>
    </comment>
    <comment ref="B7" authorId="0" shapeId="0" xr:uid="{35C72123-BB9D-4234-A248-9023E3BA594B}">
      <text>
        <r>
          <rPr>
            <sz val="9"/>
            <color indexed="81"/>
            <rFont val="Tahoma"/>
            <family val="2"/>
          </rPr>
          <t>Als op de Elga Ace het voetpunt is ingesteld op 15, wordt het voetpunt gelijk gemaakt aan de kamerrichttemperatuur zoals ingesteld op de eTwist (automatische modus).</t>
        </r>
      </text>
    </comment>
    <comment ref="H7" authorId="0" shapeId="0" xr:uid="{95BB2B32-1A48-4C6E-8BA2-8AE0F394BE35}">
      <text>
        <r>
          <rPr>
            <sz val="9"/>
            <color indexed="81"/>
            <rFont val="Tahoma"/>
            <family val="2"/>
          </rPr>
          <t xml:space="preserve">HP051 is WP-grens. Hieronder geen EA-inzet.
</t>
        </r>
      </text>
    </comment>
    <comment ref="K7" authorId="0" shapeId="0" xr:uid="{3586472E-67C5-4071-A571-9DCD0C837287}">
      <text>
        <r>
          <rPr>
            <sz val="9"/>
            <color indexed="81"/>
            <rFont val="Tahoma"/>
            <family val="2"/>
          </rPr>
          <t xml:space="preserve">CP000 begrenst Ta van Elga Ace op een maximale waarde.
</t>
        </r>
      </text>
    </comment>
    <comment ref="N7" authorId="1" shapeId="0" xr:uid="{8E854498-0D46-474F-89A7-42E2383F10D7}">
      <text>
        <r>
          <rPr>
            <sz val="9"/>
            <color indexed="81"/>
            <rFont val="Tahoma"/>
            <family val="2"/>
          </rPr>
          <t xml:space="preserve">Temperatuur buitenlucht zoals gemeten door sensor.
</t>
        </r>
      </text>
    </comment>
    <comment ref="D9" authorId="0" shapeId="0" xr:uid="{1ACB9975-28C4-4863-879E-0104EE6EE8B5}">
      <text>
        <r>
          <rPr>
            <sz val="9"/>
            <color indexed="81"/>
            <rFont val="Tahoma"/>
            <family val="2"/>
          </rPr>
          <t>Voor de serie standaard stooklijnen in E9 0.7 invoeren.
Voor een serie lagere stooklijnen in E9 0.0 invoeren.</t>
        </r>
      </text>
    </comment>
    <comment ref="AE32" authorId="1" shapeId="0" xr:uid="{504E23D5-8AE9-4650-B6DB-A14D07C8E848}">
      <text>
        <r>
          <rPr>
            <sz val="9"/>
            <color indexed="81"/>
            <rFont val="Tahoma"/>
            <family val="2"/>
          </rPr>
          <t>De standaardwaarde heeft Remeha bepaald op 3, maar in een webinar zegt Remeha dat 5 of 6 vaak betere resultaten geeft.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NAV</author>
  </authors>
  <commentList>
    <comment ref="E4" authorId="0" shapeId="0" xr:uid="{497F0CAC-9BB3-471B-AA27-EEF0A750FEEB}">
      <text>
        <r>
          <rPr>
            <sz val="9"/>
            <color indexed="81"/>
            <rFont val="Tahoma"/>
            <family val="2"/>
          </rPr>
          <t>Voor een Tb-afhankelijke tijdsvertraging 0 invoeren.
Voor een tijdsvertraging met een vast aantal minuten 1 invoeren.
Dan de rode waarde(n) hieronder aanpassen naar wens.</t>
        </r>
      </text>
    </comment>
  </commentList>
</comments>
</file>

<file path=xl/sharedStrings.xml><?xml version="1.0" encoding="utf-8"?>
<sst xmlns="http://schemas.openxmlformats.org/spreadsheetml/2006/main" count="133" uniqueCount="116">
  <si>
    <t>Parameter</t>
  </si>
  <si>
    <t>HP030</t>
  </si>
  <si>
    <t>VertrStartResrveCV</t>
  </si>
  <si>
    <t>HP047</t>
  </si>
  <si>
    <t>HP048</t>
  </si>
  <si>
    <t>HP049</t>
  </si>
  <si>
    <t>HP050</t>
  </si>
  <si>
    <t>Minuten</t>
  </si>
  <si>
    <t>Interval</t>
  </si>
  <si>
    <t>Vertragingslijnen voor inzet combi-ketel</t>
  </si>
  <si>
    <t>Parameters vertragingslijnen</t>
  </si>
  <si>
    <t>Persoonlijk</t>
  </si>
  <si>
    <r>
      <t>T</t>
    </r>
    <r>
      <rPr>
        <b/>
        <vertAlign val="subscript"/>
        <sz val="11"/>
        <color theme="1"/>
        <rFont val="Arial"/>
        <family val="2"/>
      </rPr>
      <t>persoonlijk</t>
    </r>
    <r>
      <rPr>
        <sz val="11"/>
        <color theme="1"/>
        <rFont val="Arial"/>
        <family val="2"/>
      </rPr>
      <t/>
    </r>
  </si>
  <si>
    <t>verschilminuten (HP048-HP047)</t>
  </si>
  <si>
    <t>graden per 2 minuten</t>
  </si>
  <si>
    <t>Minuten vertraging bij TempMin</t>
  </si>
  <si>
    <t>Minuten vertraging bij TempMax</t>
  </si>
  <si>
    <t>temp op minuut 0</t>
  </si>
  <si>
    <t>stappen van 0 tot TempMin</t>
  </si>
  <si>
    <t>Voorberekening persoonlijke vertragingslijn Elga Ace</t>
  </si>
  <si>
    <t>Stooklijn</t>
  </si>
  <si>
    <r>
      <t>T</t>
    </r>
    <r>
      <rPr>
        <b/>
        <vertAlign val="subscript"/>
        <sz val="11"/>
        <color theme="1"/>
        <rFont val="Arial"/>
        <family val="2"/>
      </rPr>
      <t>buiten</t>
    </r>
  </si>
  <si>
    <t>CP000</t>
  </si>
  <si>
    <t>Voetpunt</t>
  </si>
  <si>
    <t>CP230</t>
  </si>
  <si>
    <t>rij met Ta voor gekozen Tbuiten</t>
  </si>
  <si>
    <t>Opmerkingen</t>
  </si>
  <si>
    <t>Tabel vertragingslijnen voor inzet combi-ketel</t>
  </si>
  <si>
    <t>Standaard*</t>
  </si>
  <si>
    <t>Als HP030=0 dan is de activeringsvertraging</t>
  </si>
  <si>
    <t>voor de gasketel afhankelijk van de buiten-</t>
  </si>
  <si>
    <t>Blog van Harold Halewijn</t>
  </si>
  <si>
    <t>Blog van Martin Kleinman</t>
  </si>
  <si>
    <t>AP063</t>
  </si>
  <si>
    <t>verschil is altijd 0 als voetpunt=20</t>
  </si>
  <si>
    <t>HP000</t>
  </si>
  <si>
    <t>HP051</t>
  </si>
  <si>
    <t>max.Ta ketel</t>
  </si>
  <si>
    <t>max.Ta EA</t>
  </si>
  <si>
    <t>Tbuiten</t>
  </si>
  <si>
    <t>Ta</t>
  </si>
  <si>
    <t>CP210 &amp; 220</t>
  </si>
  <si>
    <t>horizontaal</t>
  </si>
  <si>
    <t>verticaal</t>
  </si>
  <si>
    <t>(alleen zichtbaar in grafiek als deze kolommen niet verborgen zijn!)</t>
  </si>
  <si>
    <t>= max.mogelijke Ta Elga Ace</t>
  </si>
  <si>
    <r>
      <t>= max.</t>
    </r>
    <r>
      <rPr>
        <i/>
        <u/>
        <sz val="11"/>
        <color theme="1"/>
        <rFont val="Arial"/>
        <family val="2"/>
      </rPr>
      <t>in te stellen</t>
    </r>
    <r>
      <rPr>
        <i/>
        <sz val="11"/>
        <color theme="1"/>
        <rFont val="Arial"/>
        <family val="2"/>
      </rPr>
      <t xml:space="preserve"> Ta op gasketel (begrenzing)</t>
    </r>
  </si>
  <si>
    <t>= max.Ta op gasketel (gebruikersinstelling)</t>
  </si>
  <si>
    <t>Tijdsvertraging opstart ketel</t>
  </si>
  <si>
    <t>verschilgraden (HP050-HP049)</t>
  </si>
  <si>
    <t>Tb afhank.</t>
  </si>
  <si>
    <t>temperatuur (Tb), conform HP047 t/m HP050.</t>
  </si>
  <si>
    <t>HP030 is op EA instelbaar op 0 en van 1 tot 600 minuten.</t>
  </si>
  <si>
    <t>HP047 is op EA instelbaar van 0 tot 60 minuten (voor min.buitentemp.).</t>
  </si>
  <si>
    <t>HP048 is op EA instelbaar van 0 tot 60 minuten (voor max.buitentemp.).</t>
  </si>
  <si>
    <r>
      <t>HP049 is op EA instelbaar van -30</t>
    </r>
    <r>
      <rPr>
        <sz val="11"/>
        <color theme="1"/>
        <rFont val="Arial"/>
        <family val="2"/>
      </rPr>
      <t>⁰</t>
    </r>
    <r>
      <rPr>
        <i/>
        <sz val="11"/>
        <color theme="1"/>
        <rFont val="Arial"/>
        <family val="2"/>
      </rPr>
      <t>C tot 0</t>
    </r>
    <r>
      <rPr>
        <sz val="11"/>
        <color theme="1"/>
        <rFont val="Arial"/>
        <family val="2"/>
      </rPr>
      <t>⁰</t>
    </r>
    <r>
      <rPr>
        <i/>
        <sz val="11"/>
        <color theme="1"/>
        <rFont val="Arial"/>
        <family val="2"/>
      </rPr>
      <t>C (min.buitentemp.).</t>
    </r>
  </si>
  <si>
    <r>
      <t>HP050 is op EA instelbaar van -30</t>
    </r>
    <r>
      <rPr>
        <sz val="11"/>
        <color theme="1"/>
        <rFont val="Arial"/>
        <family val="2"/>
      </rPr>
      <t>⁰</t>
    </r>
    <r>
      <rPr>
        <i/>
        <sz val="11"/>
        <color theme="1"/>
        <rFont val="Arial"/>
        <family val="2"/>
      </rPr>
      <t>C tot +20</t>
    </r>
    <r>
      <rPr>
        <sz val="11"/>
        <color theme="1"/>
        <rFont val="Arial"/>
        <family val="2"/>
      </rPr>
      <t>⁰</t>
    </r>
    <r>
      <rPr>
        <i/>
        <sz val="11"/>
        <color theme="1"/>
        <rFont val="Arial"/>
        <family val="2"/>
      </rPr>
      <t>C (max.buitentemp.).</t>
    </r>
  </si>
  <si>
    <t>WP-grens</t>
  </si>
  <si>
    <t>ketelgrens</t>
  </si>
  <si>
    <t>Bij Tb boven HP000 (de ketelgrens) mag de gasketel niet gebruikt worden.</t>
  </si>
  <si>
    <t>Bij Tb onder HP051 (de warmtepompgrens) mag de WP niet gebruikt worden.</t>
  </si>
  <si>
    <r>
      <t xml:space="preserve">Tb </t>
    </r>
    <r>
      <rPr>
        <b/>
        <vertAlign val="subscript"/>
        <sz val="11"/>
        <color rgb="FF00B050"/>
        <rFont val="Arial"/>
        <family val="2"/>
      </rPr>
      <t>stndrd</t>
    </r>
  </si>
  <si>
    <r>
      <t>Tb 3</t>
    </r>
    <r>
      <rPr>
        <sz val="11"/>
        <color theme="1"/>
        <rFont val="Arial"/>
        <family val="2"/>
      </rPr>
      <t/>
    </r>
  </si>
  <si>
    <r>
      <t>Tb 4</t>
    </r>
    <r>
      <rPr>
        <sz val="11"/>
        <color theme="1"/>
        <rFont val="Arial"/>
        <family val="2"/>
      </rPr>
      <t/>
    </r>
  </si>
  <si>
    <t>Tb 1</t>
  </si>
  <si>
    <t>Tb 2</t>
  </si>
  <si>
    <r>
      <t>Tb 5</t>
    </r>
    <r>
      <rPr>
        <sz val="11"/>
        <color theme="1"/>
        <rFont val="Arial"/>
        <family val="2"/>
      </rPr>
      <t/>
    </r>
  </si>
  <si>
    <t>Tb TempMin</t>
  </si>
  <si>
    <t>Tb TempMax</t>
  </si>
  <si>
    <t>incl. offset</t>
  </si>
  <si>
    <t>A. Tabel stooklijnen en aanvoertemperaturen Elga Ace</t>
  </si>
  <si>
    <t>B. Controle van formules en berekening Offset Ruimtecorrectie</t>
  </si>
  <si>
    <t>C. Horizontale en verticale lijnen op grafiek</t>
  </si>
  <si>
    <t>SL+Rcorr</t>
  </si>
  <si>
    <r>
      <t xml:space="preserve">Taanvoer = </t>
    </r>
    <r>
      <rPr>
        <sz val="11"/>
        <color rgb="FFFF0000"/>
        <rFont val="Arial"/>
        <family val="2"/>
      </rPr>
      <t>voetpunt</t>
    </r>
    <r>
      <rPr>
        <sz val="11"/>
        <color theme="1"/>
        <rFont val="Arial"/>
        <family val="2"/>
      </rPr>
      <t xml:space="preserve"> + stooklijngradiënt * (</t>
    </r>
    <r>
      <rPr>
        <sz val="11"/>
        <color rgb="FFFF0000"/>
        <rFont val="Arial"/>
        <family val="2"/>
      </rPr>
      <t xml:space="preserve">20 </t>
    </r>
    <r>
      <rPr>
        <sz val="11"/>
        <color theme="1"/>
        <rFont val="Arial"/>
        <family val="2"/>
      </rPr>
      <t>– buitentemperatuur)</t>
    </r>
  </si>
  <si>
    <r>
      <t>Tk</t>
    </r>
    <r>
      <rPr>
        <b/>
        <vertAlign val="subscript"/>
        <sz val="11"/>
        <color rgb="FF7030A0"/>
        <rFont val="Arial"/>
        <family val="2"/>
      </rPr>
      <t>gewenst</t>
    </r>
  </si>
  <si>
    <r>
      <t>Tb</t>
    </r>
    <r>
      <rPr>
        <b/>
        <vertAlign val="subscript"/>
        <sz val="11"/>
        <color rgb="FF7030A0"/>
        <rFont val="Arial"/>
        <family val="2"/>
      </rPr>
      <t>sensor</t>
    </r>
  </si>
  <si>
    <t>V.punt</t>
  </si>
  <si>
    <t>Taanvoer =    20 + stooklijngradiënt * (voetpunt – buitentemperatuur)</t>
  </si>
  <si>
    <t>CM070</t>
  </si>
  <si>
    <t>CM190</t>
  </si>
  <si>
    <t>AM027</t>
  </si>
  <si>
    <t>HM001</t>
  </si>
  <si>
    <t>weergave van berekend Ta instelpunt</t>
  </si>
  <si>
    <t>weergave van de actuele Ta van de warmtepomp</t>
  </si>
  <si>
    <t>weergave van Tk-gewenst (zoals ingesteld op de eTwist)</t>
  </si>
  <si>
    <t>weergave van de actuele Tb (zoals gemeten door de buitensensor)</t>
  </si>
  <si>
    <t>Codes voor meetwaarden Elga Ace</t>
  </si>
  <si>
    <t xml:space="preserve">de naar verwachting voor mijn situatie geschikte SL-waardes zijn: </t>
  </si>
  <si>
    <t>*Dit zijn de standaard instellingen van Remeha.</t>
  </si>
  <si>
    <t>kolom met Ta voor gekozen stooklijngradiënt</t>
  </si>
  <si>
    <t>Handleiding besturingsplatform</t>
  </si>
  <si>
    <r>
      <rPr>
        <b/>
        <sz val="11"/>
        <color rgb="FF00B050"/>
        <rFont val="Arial"/>
        <family val="2"/>
      </rPr>
      <t>:-)</t>
    </r>
    <r>
      <rPr>
        <b/>
        <sz val="11"/>
        <color rgb="FF00B050"/>
        <rFont val="Bradley Hand ITC"/>
        <family val="4"/>
      </rPr>
      <t xml:space="preserve">   grappig, die verschillende formules…</t>
    </r>
  </si>
  <si>
    <t>CM070 = (CM190 - CM210) x CP230 + CP210</t>
  </si>
  <si>
    <t>CM210</t>
  </si>
  <si>
    <t>(opgemerkt op 7 april 2024)</t>
  </si>
  <si>
    <t>Omdat het verschil tussen de gewenste en de gemeten Tk steeds verschilt</t>
  </si>
  <si>
    <t xml:space="preserve">de grafiek slechts een momentele indicatie. </t>
  </si>
  <si>
    <t>met de tijd, geven bovenstaande offset-waarde en de rood gestreepte lijn</t>
  </si>
  <si>
    <t>Handleiding EA Monoblock</t>
  </si>
  <si>
    <r>
      <t>Taanvoer = (Tk</t>
    </r>
    <r>
      <rPr>
        <vertAlign val="subscript"/>
        <sz val="11"/>
        <color theme="1"/>
        <rFont val="Arial"/>
        <family val="2"/>
      </rPr>
      <t>gewenst</t>
    </r>
    <r>
      <rPr>
        <sz val="11"/>
        <color theme="1"/>
        <rFont val="Arial"/>
        <family val="2"/>
      </rPr>
      <t xml:space="preserve"> – buitentemperatuur) * stooklijngradiënt + voetpunt</t>
    </r>
  </si>
  <si>
    <r>
      <t xml:space="preserve">Taanvoer = </t>
    </r>
    <r>
      <rPr>
        <sz val="11"/>
        <color rgb="FFFF0000"/>
        <rFont val="Arial"/>
        <family val="2"/>
      </rPr>
      <t>voetpunt</t>
    </r>
    <r>
      <rPr>
        <sz val="11"/>
        <color theme="1"/>
        <rFont val="Arial"/>
        <family val="2"/>
      </rPr>
      <t xml:space="preserve"> + stooklijngradiënt * (</t>
    </r>
    <r>
      <rPr>
        <sz val="11"/>
        <color rgb="FFFF0000"/>
        <rFont val="Arial"/>
        <family val="2"/>
      </rPr>
      <t>Tk</t>
    </r>
    <r>
      <rPr>
        <vertAlign val="subscript"/>
        <sz val="11"/>
        <color rgb="FFFF0000"/>
        <rFont val="Arial"/>
        <family val="2"/>
      </rPr>
      <t>gewenst</t>
    </r>
    <r>
      <rPr>
        <sz val="11"/>
        <color theme="1"/>
        <rFont val="Arial"/>
        <family val="2"/>
      </rPr>
      <t xml:space="preserve"> – buitentemperatuur)</t>
    </r>
  </si>
  <si>
    <r>
      <t>offset =  (Tk</t>
    </r>
    <r>
      <rPr>
        <vertAlign val="subscript"/>
        <sz val="11"/>
        <color rgb="FF000000"/>
        <rFont val="Arial"/>
        <family val="2"/>
      </rPr>
      <t>gewenst</t>
    </r>
    <r>
      <rPr>
        <sz val="11"/>
        <color rgb="FF000000"/>
        <rFont val="Arial"/>
        <family val="2"/>
      </rPr>
      <t xml:space="preserve"> – Tk</t>
    </r>
    <r>
      <rPr>
        <vertAlign val="subscript"/>
        <sz val="11"/>
        <color rgb="FF000000"/>
        <rFont val="Arial"/>
        <family val="2"/>
      </rPr>
      <t>gemeten</t>
    </r>
    <r>
      <rPr>
        <sz val="11"/>
        <color rgb="FF000000"/>
        <rFont val="Arial"/>
        <family val="2"/>
      </rPr>
      <t>) * (1 + CP230) * CP240</t>
    </r>
  </si>
  <si>
    <t>"wwNAVTAC"</t>
  </si>
  <si>
    <t>1. Bron: M. Kleinman</t>
  </si>
  <si>
    <t>2. Bron: Facebook (Patrick van Dijk)</t>
  </si>
  <si>
    <r>
      <t xml:space="preserve">3. Bron: Tweakers (RulazZ op 02-04-2024); </t>
    </r>
    <r>
      <rPr>
        <sz val="9"/>
        <color theme="1"/>
        <rFont val="Arial"/>
        <family val="2"/>
      </rPr>
      <t>deze formule is gebruikt in de tabel</t>
    </r>
  </si>
  <si>
    <t>4. Bron: Tweakers (RobHuls op 07-12-2023)</t>
  </si>
  <si>
    <t>5. Bron: Remeha EA Monoblock</t>
  </si>
  <si>
    <t>6. Bron: Remeha besturingssysteem</t>
  </si>
  <si>
    <r>
      <t>Taanvoer =     20 + stooklijngradiënt * (</t>
    </r>
    <r>
      <rPr>
        <sz val="11"/>
        <color rgb="FFFF0000"/>
        <rFont val="Arial"/>
        <family val="2"/>
      </rPr>
      <t>buitentemperatuur</t>
    </r>
    <r>
      <rPr>
        <sz val="11"/>
        <color theme="1"/>
        <rFont val="Arial"/>
        <family val="2"/>
      </rPr>
      <t xml:space="preserve"> – </t>
    </r>
    <r>
      <rPr>
        <sz val="11"/>
        <color rgb="FFFF0000"/>
        <rFont val="Arial"/>
        <family val="2"/>
      </rPr>
      <t>voetpunt</t>
    </r>
    <r>
      <rPr>
        <sz val="11"/>
        <color theme="1"/>
        <rFont val="Arial"/>
        <family val="2"/>
      </rPr>
      <t>)</t>
    </r>
  </si>
  <si>
    <t>Tb</t>
  </si>
  <si>
    <t>deze formule bleek later  identiek aan de formule zoals vermeld in de</t>
  </si>
  <si>
    <t>Remeha Monoblock Handleiding</t>
  </si>
  <si>
    <t>0.7 t/m 1.1</t>
  </si>
  <si>
    <t>Stel zo nodig Excel in op gebruik van Amerikaanse scheidingstekens (punt voor decimalen, komma voor duizendtallen)!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</si>
</sst>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⁰"/>
    <numFmt numFmtId="166" formatCode="0.000"/>
    <numFmt numFmtId="167" formatCode="0.0\⁰"/>
  </numFmts>
  <fonts count="51" x14ac:knownFonts="1">
    <font>
      <sz val="11"/>
      <color theme="1"/>
      <name val="Arial"/>
      <family val="2"/>
    </font>
    <font>
      <sz val="11"/>
      <name val="Arial"/>
      <family val="2"/>
    </font>
    <font>
      <b/>
      <sz val="11"/>
      <color theme="1"/>
      <name val="Arial"/>
      <family val="2"/>
    </font>
    <font>
      <b/>
      <sz val="11"/>
      <color rgb="FFFF0000"/>
      <name val="Arial"/>
      <family val="2"/>
    </font>
    <font>
      <sz val="8"/>
      <name val="Arial"/>
      <family val="2"/>
    </font>
    <font>
      <sz val="10"/>
      <color theme="1"/>
      <name val="Calibri"/>
      <family val="2"/>
      <scheme val="minor"/>
    </font>
    <font>
      <i/>
      <sz val="11"/>
      <color theme="1"/>
      <name val="Arial"/>
      <family val="2"/>
    </font>
    <font>
      <b/>
      <sz val="18"/>
      <color theme="1"/>
      <name val="Arial"/>
      <family val="2"/>
    </font>
    <font>
      <b/>
      <sz val="14"/>
      <color theme="1"/>
      <name val="Arial"/>
      <family val="2"/>
    </font>
    <font>
      <b/>
      <vertAlign val="subscript"/>
      <sz val="11"/>
      <color theme="1"/>
      <name val="Arial"/>
      <family val="2"/>
    </font>
    <font>
      <b/>
      <sz val="11"/>
      <color rgb="FF00B050"/>
      <name val="Arial"/>
      <family val="2"/>
    </font>
    <font>
      <b/>
      <sz val="11"/>
      <color rgb="FF7030A0"/>
      <name val="Arial"/>
      <family val="2"/>
    </font>
    <font>
      <b/>
      <vertAlign val="subscript"/>
      <sz val="11"/>
      <color rgb="FF7030A0"/>
      <name val="Arial"/>
      <family val="2"/>
    </font>
    <font>
      <b/>
      <vertAlign val="subscript"/>
      <sz val="11"/>
      <color rgb="FF00B050"/>
      <name val="Arial"/>
      <family val="2"/>
    </font>
    <font>
      <b/>
      <sz val="11"/>
      <color theme="5"/>
      <name val="Arial"/>
      <family val="2"/>
    </font>
    <font>
      <b/>
      <sz val="11"/>
      <color rgb="FFC00000"/>
      <name val="Arial"/>
      <family val="2"/>
    </font>
    <font>
      <sz val="11"/>
      <color rgb="FFFF0000"/>
      <name val="Arial"/>
      <family val="2"/>
    </font>
    <font>
      <i/>
      <sz val="11"/>
      <color rgb="FFFF0000"/>
      <name val="Arial"/>
      <family val="2"/>
    </font>
    <font>
      <sz val="11"/>
      <color rgb="FFC00000"/>
      <name val="Arial"/>
      <family val="2"/>
    </font>
    <font>
      <b/>
      <sz val="11"/>
      <color rgb="FF0070C0"/>
      <name val="Arial"/>
      <family val="2"/>
    </font>
    <font>
      <sz val="11"/>
      <color rgb="FF0070C0"/>
      <name val="Arial"/>
      <family val="2"/>
    </font>
    <font>
      <b/>
      <sz val="11"/>
      <name val="Arial"/>
      <family val="2"/>
    </font>
    <font>
      <b/>
      <sz val="16"/>
      <color rgb="FFFF0000"/>
      <name val="Arial"/>
      <family val="2"/>
    </font>
    <font>
      <i/>
      <u/>
      <sz val="11"/>
      <color theme="1"/>
      <name val="Arial"/>
      <family val="2"/>
    </font>
    <font>
      <sz val="9"/>
      <color indexed="81"/>
      <name val="Tahoma"/>
      <family val="2"/>
    </font>
    <font>
      <u/>
      <sz val="11"/>
      <color theme="10"/>
      <name val="Arial"/>
      <family val="2"/>
    </font>
    <font>
      <sz val="11"/>
      <color rgb="FF000000"/>
      <name val="Arial"/>
      <family val="2"/>
    </font>
    <font>
      <i/>
      <sz val="9"/>
      <color theme="1"/>
      <name val="Arial"/>
      <family val="2"/>
    </font>
    <font>
      <b/>
      <sz val="14"/>
      <color rgb="FF00B050"/>
      <name val="Arial"/>
      <family val="2"/>
    </font>
    <font>
      <b/>
      <sz val="14"/>
      <color rgb="FFFF0000"/>
      <name val="Arial"/>
      <family val="2"/>
    </font>
    <font>
      <b/>
      <sz val="14"/>
      <color rgb="FF7030A0"/>
      <name val="Arial"/>
      <family val="2"/>
    </font>
    <font>
      <b/>
      <sz val="14"/>
      <color rgb="FFC00000"/>
      <name val="Arial"/>
      <family val="2"/>
    </font>
    <font>
      <sz val="11"/>
      <color theme="0" tint="-0.249977111117893"/>
      <name val="Arial"/>
      <family val="2"/>
    </font>
    <font>
      <b/>
      <sz val="11"/>
      <color theme="0" tint="-0.499984740745262"/>
      <name val="Arial"/>
      <family val="2"/>
    </font>
    <font>
      <b/>
      <sz val="11"/>
      <color rgb="FFFFC000"/>
      <name val="Arial"/>
      <family val="2"/>
    </font>
    <font>
      <b/>
      <i/>
      <sz val="11"/>
      <color rgb="FF000000"/>
      <name val="Calibri"/>
      <family val="2"/>
    </font>
    <font>
      <b/>
      <u/>
      <sz val="11"/>
      <color rgb="FFFF0000"/>
      <name val="Arial"/>
      <family val="2"/>
    </font>
    <font>
      <b/>
      <sz val="12"/>
      <color rgb="FFC00000"/>
      <name val="Arial"/>
      <family val="2"/>
    </font>
    <font>
      <b/>
      <sz val="12"/>
      <name val="Arial"/>
      <family val="2"/>
    </font>
    <font>
      <i/>
      <sz val="10"/>
      <color theme="1"/>
      <name val="Arial"/>
      <family val="2"/>
    </font>
    <font>
      <b/>
      <i/>
      <sz val="10"/>
      <color rgb="FF00B050"/>
      <name val="Arial"/>
      <family val="2"/>
    </font>
    <font>
      <b/>
      <sz val="18"/>
      <color theme="1" tint="0.499984740745262"/>
      <name val="Arial"/>
      <family val="2"/>
    </font>
    <font>
      <sz val="9"/>
      <color theme="1"/>
      <name val="Arial"/>
      <family val="2"/>
    </font>
    <font>
      <b/>
      <sz val="11"/>
      <color rgb="FF00B050"/>
      <name val="Bradley Hand ITC"/>
      <family val="2"/>
    </font>
    <font>
      <b/>
      <sz val="11"/>
      <color rgb="FF00B050"/>
      <name val="Bradley Hand ITC"/>
      <family val="4"/>
    </font>
    <font>
      <vertAlign val="subscript"/>
      <sz val="11"/>
      <color theme="1"/>
      <name val="Arial"/>
      <family val="2"/>
    </font>
    <font>
      <vertAlign val="subscript"/>
      <sz val="11"/>
      <color rgb="FFFF0000"/>
      <name val="Arial"/>
      <family val="2"/>
    </font>
    <font>
      <vertAlign val="subscript"/>
      <sz val="11"/>
      <color rgb="FF000000"/>
      <name val="Arial"/>
      <family val="2"/>
    </font>
    <font>
      <i/>
      <sz val="9"/>
      <color rgb="FFFF0000"/>
      <name val="Arial"/>
      <family val="2"/>
    </font>
    <font>
      <sz val="8"/>
      <color rgb="FFFF0000"/>
      <name val="Arial"/>
      <family val="2"/>
    </font>
    <font>
      <b/>
      <sz val="9"/>
      <color indexed="81"/>
      <name val="Tahoma"/>
      <family val="2"/>
    </font>
  </fonts>
  <fills count="1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E3EFF9"/>
        <bgColor indexed="64"/>
      </patternFill>
    </fill>
    <fill>
      <patternFill patternType="solid">
        <fgColor theme="9" tint="0.59999389629810485"/>
        <bgColor indexed="64"/>
      </patternFill>
    </fill>
    <fill>
      <patternFill patternType="solid">
        <fgColor rgb="FFFFAFAF"/>
        <bgColor indexed="64"/>
      </patternFill>
    </fill>
    <fill>
      <patternFill patternType="solid">
        <fgColor theme="8" tint="0.39997558519241921"/>
        <bgColor indexed="64"/>
      </patternFill>
    </fill>
    <fill>
      <patternFill patternType="solid">
        <fgColor rgb="FFFF9953"/>
        <bgColor indexed="64"/>
      </patternFill>
    </fill>
    <fill>
      <patternFill patternType="solid">
        <fgColor rgb="FFC9A6E4"/>
        <bgColor indexed="64"/>
      </patternFill>
    </fill>
    <fill>
      <patternFill patternType="solid">
        <fgColor theme="5" tint="0.39997558519241921"/>
        <bgColor indexed="64"/>
      </patternFill>
    </fill>
    <fill>
      <patternFill patternType="solid">
        <fgColor theme="0" tint="-0.24994659260841701"/>
        <bgColor indexed="64"/>
      </patternFill>
    </fill>
    <fill>
      <patternFill patternType="solid">
        <fgColor rgb="FFFFFF66"/>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style="thin">
        <color indexed="64"/>
      </top>
      <bottom style="thin">
        <color indexed="64"/>
      </bottom>
      <diagonal/>
    </border>
    <border>
      <left/>
      <right style="thin">
        <color indexed="64"/>
      </right>
      <top/>
      <bottom/>
      <diagonal/>
    </border>
    <border>
      <left/>
      <right/>
      <top style="hair">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medium">
        <color rgb="FFFF0000"/>
      </left>
      <right style="medium">
        <color rgb="FFFF0000"/>
      </right>
      <top style="hair">
        <color auto="1"/>
      </top>
      <bottom style="hair">
        <color auto="1"/>
      </bottom>
      <diagonal/>
    </border>
    <border>
      <left style="medium">
        <color rgb="FFFF0000"/>
      </left>
      <right style="medium">
        <color rgb="FFFF0000"/>
      </right>
      <top style="hair">
        <color auto="1"/>
      </top>
      <bottom style="medium">
        <color rgb="FFFF0000"/>
      </bottom>
      <diagonal/>
    </border>
    <border>
      <left style="thin">
        <color rgb="FFFF0000"/>
      </left>
      <right/>
      <top style="hair">
        <color auto="1"/>
      </top>
      <bottom style="hair">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rgb="FFFF0000"/>
      </right>
      <top style="hair">
        <color auto="1"/>
      </top>
      <bottom style="hair">
        <color auto="1"/>
      </bottom>
      <diagonal/>
    </border>
    <border>
      <left/>
      <right style="medium">
        <color rgb="FFFF0000"/>
      </right>
      <top style="hair">
        <color auto="1"/>
      </top>
      <bottom style="hair">
        <color auto="1"/>
      </bottom>
      <diagonal/>
    </border>
    <border>
      <left style="medium">
        <color rgb="FFFF0000"/>
      </left>
      <right style="thin">
        <color rgb="FFFF0000"/>
      </right>
      <top style="hair">
        <color auto="1"/>
      </top>
      <bottom style="medium">
        <color rgb="FFFF0000"/>
      </bottom>
      <diagonal/>
    </border>
    <border>
      <left style="thin">
        <color rgb="FFFF0000"/>
      </left>
      <right/>
      <top style="hair">
        <color auto="1"/>
      </top>
      <bottom style="medium">
        <color rgb="FFFF0000"/>
      </bottom>
      <diagonal/>
    </border>
    <border>
      <left/>
      <right/>
      <top style="hair">
        <color auto="1"/>
      </top>
      <bottom style="medium">
        <color rgb="FFFF0000"/>
      </bottom>
      <diagonal/>
    </border>
    <border>
      <left/>
      <right style="medium">
        <color rgb="FFFF0000"/>
      </right>
      <top style="hair">
        <color auto="1"/>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bottom style="hair">
        <color auto="1"/>
      </bottom>
      <diagonal/>
    </border>
    <border>
      <left/>
      <right/>
      <top style="medium">
        <color rgb="FFFF0000"/>
      </top>
      <bottom style="hair">
        <color auto="1"/>
      </bottom>
      <diagonal/>
    </border>
    <border>
      <left/>
      <right style="medium">
        <color rgb="FFFF0000"/>
      </right>
      <top style="medium">
        <color rgb="FFFF0000"/>
      </top>
      <bottom style="hair">
        <color auto="1"/>
      </bottom>
      <diagonal/>
    </border>
    <border>
      <left style="medium">
        <color rgb="FFFF0000"/>
      </left>
      <right style="thin">
        <color rgb="FFFF0000"/>
      </right>
      <top style="medium">
        <color rgb="FFFF0000"/>
      </top>
      <bottom style="hair">
        <color auto="1"/>
      </bottom>
      <diagonal/>
    </border>
    <border>
      <left style="thin">
        <color rgb="FFFF0000"/>
      </left>
      <right/>
      <top style="medium">
        <color rgb="FFFF0000"/>
      </top>
      <bottom style="hair">
        <color auto="1"/>
      </bottom>
      <diagonal/>
    </border>
    <border>
      <left/>
      <right style="thin">
        <color auto="1"/>
      </right>
      <top style="hair">
        <color auto="1"/>
      </top>
      <bottom style="thin">
        <color auto="1"/>
      </bottom>
      <diagonal/>
    </border>
    <border>
      <left style="thin">
        <color theme="1"/>
      </left>
      <right style="thin">
        <color theme="1"/>
      </right>
      <top style="hair">
        <color auto="1"/>
      </top>
      <bottom style="thin">
        <color theme="1"/>
      </bottom>
      <diagonal/>
    </border>
    <border>
      <left/>
      <right/>
      <top style="hair">
        <color auto="1"/>
      </top>
      <bottom style="thin">
        <color auto="1"/>
      </bottom>
      <diagonal/>
    </border>
    <border>
      <left style="thin">
        <color auto="1"/>
      </left>
      <right style="thin">
        <color theme="1"/>
      </right>
      <top style="hair">
        <color auto="1"/>
      </top>
      <bottom style="thin">
        <color auto="1"/>
      </bottom>
      <diagonal/>
    </border>
    <border>
      <left style="thin">
        <color auto="1"/>
      </left>
      <right style="thin">
        <color auto="1"/>
      </right>
      <top/>
      <bottom style="thin">
        <color auto="1"/>
      </bottom>
      <diagonal/>
    </border>
    <border>
      <left/>
      <right style="thin">
        <color auto="1"/>
      </right>
      <top style="hair">
        <color auto="1"/>
      </top>
      <bottom style="hair">
        <color auto="1"/>
      </bottom>
      <diagonal/>
    </border>
    <border>
      <left style="thin">
        <color theme="1"/>
      </left>
      <right style="thin">
        <color theme="1"/>
      </right>
      <top style="hair">
        <color auto="1"/>
      </top>
      <bottom style="hair">
        <color auto="1"/>
      </bottom>
      <diagonal/>
    </border>
    <border>
      <left style="thin">
        <color auto="1"/>
      </left>
      <right style="thin">
        <color theme="1"/>
      </right>
      <top style="hair">
        <color auto="1"/>
      </top>
      <bottom style="hair">
        <color auto="1"/>
      </bottom>
      <diagonal/>
    </border>
    <border>
      <left style="thin">
        <color auto="1"/>
      </left>
      <right style="thin">
        <color auto="1"/>
      </right>
      <top/>
      <bottom/>
      <diagonal/>
    </border>
    <border>
      <left/>
      <right style="thin">
        <color auto="1"/>
      </right>
      <top style="thin">
        <color auto="1"/>
      </top>
      <bottom style="hair">
        <color auto="1"/>
      </bottom>
      <diagonal/>
    </border>
    <border>
      <left style="thin">
        <color theme="1"/>
      </left>
      <right style="thin">
        <color theme="1"/>
      </right>
      <top style="thin">
        <color auto="1"/>
      </top>
      <bottom style="hair">
        <color auto="1"/>
      </bottom>
      <diagonal/>
    </border>
    <border>
      <left/>
      <right/>
      <top style="thin">
        <color auto="1"/>
      </top>
      <bottom style="hair">
        <color auto="1"/>
      </bottom>
      <diagonal/>
    </border>
    <border>
      <left style="thin">
        <color auto="1"/>
      </left>
      <right style="thin">
        <color theme="1"/>
      </right>
      <top style="thin">
        <color auto="1"/>
      </top>
      <bottom style="hair">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B050"/>
      </left>
      <right style="thin">
        <color rgb="FF00B050"/>
      </right>
      <top style="thin">
        <color rgb="FF00B050"/>
      </top>
      <bottom style="thin">
        <color rgb="FF00B050"/>
      </bottom>
      <diagonal/>
    </border>
    <border>
      <left/>
      <right/>
      <top/>
      <bottom style="thin">
        <color rgb="FF7030A0"/>
      </bottom>
      <diagonal/>
    </border>
    <border>
      <left style="thin">
        <color rgb="FFFF0000"/>
      </left>
      <right style="thin">
        <color rgb="FFFF0000"/>
      </right>
      <top style="thin">
        <color rgb="FFFF0000"/>
      </top>
      <bottom style="thin">
        <color rgb="FFFF0000"/>
      </bottom>
      <diagonal/>
    </border>
    <border>
      <left style="thin">
        <color rgb="FF7030A0"/>
      </left>
      <right style="thin">
        <color rgb="FF7030A0"/>
      </right>
      <top style="thin">
        <color rgb="FF7030A0"/>
      </top>
      <bottom style="thin">
        <color rgb="FF7030A0"/>
      </bottom>
      <diagonal/>
    </border>
    <border>
      <left/>
      <right style="thin">
        <color rgb="FF7030A0"/>
      </right>
      <top/>
      <bottom/>
      <diagonal/>
    </border>
    <border>
      <left style="thin">
        <color auto="1"/>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medium">
        <color rgb="FFFF0000"/>
      </left>
      <right/>
      <top style="medium">
        <color rgb="FFFF0000"/>
      </top>
      <bottom style="hair">
        <color auto="1"/>
      </bottom>
      <diagonal/>
    </border>
    <border>
      <left style="thin">
        <color rgb="FFFF0000"/>
      </left>
      <right style="thin">
        <color theme="0" tint="-0.24994659260841701"/>
      </right>
      <top style="medium">
        <color rgb="FFFF0000"/>
      </top>
      <bottom style="thin">
        <color theme="0" tint="-0.24994659260841701"/>
      </bottom>
      <diagonal/>
    </border>
    <border>
      <left style="thin">
        <color auto="1"/>
      </left>
      <right style="double">
        <color auto="1"/>
      </right>
      <top style="hair">
        <color auto="1"/>
      </top>
      <bottom style="hair">
        <color auto="1"/>
      </bottom>
      <diagonal/>
    </border>
    <border>
      <left style="double">
        <color auto="1"/>
      </left>
      <right style="thin">
        <color theme="0" tint="-0.24994659260841701"/>
      </right>
      <top style="medium">
        <color rgb="FFFF0000"/>
      </top>
      <bottom style="hair">
        <color theme="0" tint="-0.24994659260841701"/>
      </bottom>
      <diagonal/>
    </border>
    <border>
      <left style="double">
        <color auto="1"/>
      </left>
      <right style="thin">
        <color theme="0" tint="-0.24994659260841701"/>
      </right>
      <top style="hair">
        <color theme="0" tint="-0.24994659260841701"/>
      </top>
      <bottom style="hair">
        <color theme="0" tint="-0.24994659260841701"/>
      </bottom>
      <diagonal/>
    </border>
    <border>
      <left style="thin">
        <color auto="1"/>
      </left>
      <right style="double">
        <color auto="1"/>
      </right>
      <top style="hair">
        <color auto="1"/>
      </top>
      <bottom style="thin">
        <color auto="1"/>
      </bottom>
      <diagonal/>
    </border>
    <border>
      <left style="double">
        <color auto="1"/>
      </left>
      <right style="thin">
        <color theme="0" tint="-0.24994659260841701"/>
      </right>
      <top style="hair">
        <color theme="0" tint="-0.24994659260841701"/>
      </top>
      <bottom style="thin">
        <color theme="0" tint="-0.24994659260841701"/>
      </bottom>
      <diagonal/>
    </border>
    <border>
      <left style="thin">
        <color indexed="64"/>
      </left>
      <right style="double">
        <color rgb="FFFF0000"/>
      </right>
      <top style="thin">
        <color indexed="64"/>
      </top>
      <bottom style="thin">
        <color indexed="64"/>
      </bottom>
      <diagonal/>
    </border>
    <border>
      <left style="double">
        <color rgb="FFFF0000"/>
      </left>
      <right style="medium">
        <color rgb="FFFF0000"/>
      </right>
      <top style="medium">
        <color rgb="FFFF0000"/>
      </top>
      <bottom style="medium">
        <color rgb="FFFF0000"/>
      </bottom>
      <diagonal/>
    </border>
    <border>
      <left style="thin">
        <color indexed="64"/>
      </left>
      <right style="double">
        <color rgb="FFFF0000"/>
      </right>
      <top style="thin">
        <color auto="1"/>
      </top>
      <bottom style="hair">
        <color auto="1"/>
      </bottom>
      <diagonal/>
    </border>
    <border>
      <left style="thin">
        <color auto="1"/>
      </left>
      <right style="thin">
        <color auto="1"/>
      </right>
      <top/>
      <bottom style="hair">
        <color auto="1"/>
      </bottom>
      <diagonal/>
    </border>
    <border>
      <left style="medium">
        <color rgb="FFFF0000"/>
      </left>
      <right style="thin">
        <color rgb="FFFF0000"/>
      </right>
      <top style="medium">
        <color rgb="FFFF0000"/>
      </top>
      <bottom style="medium">
        <color rgb="FFFF000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rgb="FFFF0000"/>
      </right>
      <top style="thin">
        <color rgb="FFFF0000"/>
      </top>
      <bottom style="thin">
        <color rgb="FFFF0000"/>
      </bottom>
      <diagonal/>
    </border>
  </borders>
  <cellStyleXfs count="3">
    <xf numFmtId="0" fontId="0" fillId="0" borderId="0"/>
    <xf numFmtId="0" fontId="5" fillId="0" borderId="0"/>
    <xf numFmtId="0" fontId="25" fillId="0" borderId="0" applyNumberFormat="0" applyFill="0" applyBorder="0" applyAlignment="0" applyProtection="0"/>
  </cellStyleXfs>
  <cellXfs count="243">
    <xf numFmtId="0" fontId="0" fillId="0" borderId="0" xfId="0"/>
    <xf numFmtId="0" fontId="7" fillId="0" borderId="0" xfId="0" applyFont="1"/>
    <xf numFmtId="0" fontId="6" fillId="0" borderId="0" xfId="0" applyFont="1"/>
    <xf numFmtId="0" fontId="8" fillId="0" borderId="0" xfId="0" applyFont="1"/>
    <xf numFmtId="1" fontId="0" fillId="0" borderId="0" xfId="0" applyNumberFormat="1"/>
    <xf numFmtId="0" fontId="2" fillId="5" borderId="1" xfId="0" applyFont="1" applyFill="1" applyBorder="1"/>
    <xf numFmtId="0" fontId="0" fillId="0" borderId="1" xfId="0" applyBorder="1"/>
    <xf numFmtId="0" fontId="7" fillId="0" borderId="0" xfId="0" applyFont="1" applyAlignment="1">
      <alignment horizontal="centerContinuous"/>
    </xf>
    <xf numFmtId="164" fontId="0" fillId="0" borderId="6" xfId="0" applyNumberFormat="1" applyBorder="1"/>
    <xf numFmtId="0" fontId="0" fillId="0" borderId="0" xfId="0" applyAlignment="1">
      <alignment horizontal="centerContinuous"/>
    </xf>
    <xf numFmtId="0" fontId="0" fillId="0" borderId="2" xfId="0" applyBorder="1"/>
    <xf numFmtId="0" fontId="0" fillId="0" borderId="3" xfId="0" applyBorder="1"/>
    <xf numFmtId="0" fontId="0" fillId="0" borderId="4" xfId="0" applyBorder="1"/>
    <xf numFmtId="164" fontId="0" fillId="0" borderId="6" xfId="0" applyNumberFormat="1" applyBorder="1" applyAlignment="1">
      <alignment horizontal="right"/>
    </xf>
    <xf numFmtId="0" fontId="2" fillId="3" borderId="2" xfId="0" applyFont="1" applyFill="1" applyBorder="1" applyAlignment="1">
      <alignment vertical="top"/>
    </xf>
    <xf numFmtId="164" fontId="2" fillId="0" borderId="2" xfId="0" applyNumberFormat="1" applyFont="1" applyBorder="1" applyAlignment="1">
      <alignment horizontal="right" vertical="top"/>
    </xf>
    <xf numFmtId="164" fontId="2" fillId="0" borderId="2" xfId="0" applyNumberFormat="1" applyFont="1" applyBorder="1" applyAlignment="1">
      <alignment vertical="top"/>
    </xf>
    <xf numFmtId="0" fontId="0" fillId="0" borderId="2" xfId="0" applyBorder="1" applyAlignment="1">
      <alignment vertical="top"/>
    </xf>
    <xf numFmtId="1" fontId="0" fillId="3" borderId="3" xfId="0" applyNumberFormat="1" applyFill="1" applyBorder="1" applyAlignment="1">
      <alignment vertical="top"/>
    </xf>
    <xf numFmtId="0" fontId="0" fillId="0" borderId="7" xfId="0" applyBorder="1" applyAlignment="1">
      <alignment vertical="top"/>
    </xf>
    <xf numFmtId="164" fontId="0" fillId="0" borderId="3" xfId="0" applyNumberFormat="1" applyBorder="1" applyAlignment="1">
      <alignment vertical="top"/>
    </xf>
    <xf numFmtId="0" fontId="0" fillId="0" borderId="3" xfId="0" applyBorder="1" applyAlignment="1">
      <alignment vertical="top"/>
    </xf>
    <xf numFmtId="164" fontId="2" fillId="6" borderId="3" xfId="0" applyNumberFormat="1" applyFont="1" applyFill="1" applyBorder="1" applyAlignment="1">
      <alignment vertical="top"/>
    </xf>
    <xf numFmtId="164" fontId="0" fillId="7" borderId="3" xfId="0" applyNumberFormat="1" applyFill="1" applyBorder="1" applyAlignment="1">
      <alignment vertical="top"/>
    </xf>
    <xf numFmtId="1" fontId="0" fillId="3" borderId="4" xfId="0" applyNumberFormat="1" applyFill="1" applyBorder="1" applyAlignment="1">
      <alignment vertical="top"/>
    </xf>
    <xf numFmtId="164" fontId="0" fillId="0" borderId="4" xfId="0" applyNumberFormat="1" applyBorder="1" applyAlignment="1">
      <alignment vertical="top"/>
    </xf>
    <xf numFmtId="164" fontId="2" fillId="6" borderId="4" xfId="0" applyNumberFormat="1" applyFont="1" applyFill="1" applyBorder="1" applyAlignment="1">
      <alignment vertical="top"/>
    </xf>
    <xf numFmtId="0" fontId="0" fillId="0" borderId="4" xfId="0" applyBorder="1" applyAlignment="1">
      <alignment vertical="top"/>
    </xf>
    <xf numFmtId="0" fontId="0" fillId="4" borderId="13" xfId="0" applyFill="1" applyBorder="1"/>
    <xf numFmtId="0" fontId="0" fillId="4" borderId="7" xfId="0" applyFill="1" applyBorder="1"/>
    <xf numFmtId="0" fontId="0" fillId="0" borderId="8" xfId="0" applyBorder="1" applyAlignment="1">
      <alignment vertical="top"/>
    </xf>
    <xf numFmtId="0" fontId="0" fillId="0" borderId="9" xfId="0" applyBorder="1" applyAlignment="1">
      <alignment vertical="top"/>
    </xf>
    <xf numFmtId="164" fontId="2" fillId="6" borderId="9" xfId="0" applyNumberFormat="1" applyFont="1" applyFill="1" applyBorder="1" applyAlignment="1">
      <alignment vertical="top"/>
    </xf>
    <xf numFmtId="164" fontId="0" fillId="0" borderId="9" xfId="0" applyNumberFormat="1" applyBorder="1" applyAlignment="1">
      <alignment vertical="top"/>
    </xf>
    <xf numFmtId="164" fontId="0" fillId="7" borderId="9" xfId="0" applyNumberFormat="1" applyFill="1" applyBorder="1" applyAlignment="1">
      <alignment vertical="top"/>
    </xf>
    <xf numFmtId="164" fontId="2" fillId="6" borderId="10" xfId="0" applyNumberFormat="1" applyFont="1" applyFill="1" applyBorder="1" applyAlignment="1">
      <alignment vertical="top"/>
    </xf>
    <xf numFmtId="0" fontId="0" fillId="4" borderId="15" xfId="0" applyFill="1" applyBorder="1"/>
    <xf numFmtId="0" fontId="0" fillId="4" borderId="16" xfId="0" applyFill="1" applyBorder="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8" borderId="22" xfId="0" applyFill="1" applyBorder="1" applyAlignment="1">
      <alignment horizontal="centerContinuous"/>
    </xf>
    <xf numFmtId="0" fontId="0" fillId="8" borderId="23" xfId="0" applyFill="1" applyBorder="1" applyAlignment="1">
      <alignment horizontal="centerContinuous"/>
    </xf>
    <xf numFmtId="0" fontId="2" fillId="8" borderId="21" xfId="0" applyFont="1" applyFill="1" applyBorder="1" applyAlignment="1">
      <alignment horizontal="centerContinuous" vertical="top"/>
    </xf>
    <xf numFmtId="164" fontId="0" fillId="4" borderId="11" xfId="0" applyNumberFormat="1" applyFill="1" applyBorder="1" applyAlignment="1">
      <alignment vertical="top"/>
    </xf>
    <xf numFmtId="164" fontId="0" fillId="4" borderId="12" xfId="0" applyNumberFormat="1" applyFill="1" applyBorder="1" applyAlignment="1">
      <alignment vertical="top"/>
    </xf>
    <xf numFmtId="164" fontId="0" fillId="4" borderId="24" xfId="0" applyNumberFormat="1" applyFill="1" applyBorder="1" applyAlignment="1">
      <alignment vertical="top"/>
    </xf>
    <xf numFmtId="0" fontId="0" fillId="4" borderId="25" xfId="0" applyFill="1" applyBorder="1"/>
    <xf numFmtId="0" fontId="0" fillId="4" borderId="26" xfId="0" applyFill="1" applyBorder="1"/>
    <xf numFmtId="0" fontId="0" fillId="4" borderId="27" xfId="0" applyFill="1" applyBorder="1"/>
    <xf numFmtId="0" fontId="0" fillId="4" borderId="28" xfId="0" applyFill="1" applyBorder="1"/>
    <xf numFmtId="1" fontId="2" fillId="2" borderId="1" xfId="0" applyNumberFormat="1" applyFont="1" applyFill="1" applyBorder="1" applyAlignment="1">
      <alignment horizontal="right"/>
    </xf>
    <xf numFmtId="0" fontId="17" fillId="0" borderId="0" xfId="0" applyFont="1"/>
    <xf numFmtId="164" fontId="1" fillId="0" borderId="4" xfId="0" applyNumberFormat="1" applyFont="1" applyBorder="1" applyAlignment="1">
      <alignment horizontal="center"/>
    </xf>
    <xf numFmtId="164" fontId="1" fillId="0" borderId="29" xfId="0" applyNumberFormat="1" applyFont="1" applyBorder="1" applyAlignment="1">
      <alignment horizontal="center"/>
    </xf>
    <xf numFmtId="164" fontId="1" fillId="0" borderId="30" xfId="0" applyNumberFormat="1" applyFont="1" applyBorder="1" applyAlignment="1">
      <alignment horizontal="center"/>
    </xf>
    <xf numFmtId="164" fontId="0" fillId="0" borderId="4" xfId="0" applyNumberFormat="1" applyBorder="1" applyAlignment="1">
      <alignment horizontal="center"/>
    </xf>
    <xf numFmtId="0" fontId="0" fillId="3" borderId="33" xfId="0" applyFill="1" applyBorder="1"/>
    <xf numFmtId="1" fontId="18" fillId="0" borderId="4" xfId="0" applyNumberFormat="1" applyFont="1" applyBorder="1"/>
    <xf numFmtId="164" fontId="1" fillId="0" borderId="3" xfId="0" applyNumberFormat="1" applyFont="1" applyBorder="1" applyAlignment="1">
      <alignment horizontal="center"/>
    </xf>
    <xf numFmtId="164" fontId="1" fillId="0" borderId="34" xfId="0" applyNumberFormat="1" applyFont="1" applyBorder="1" applyAlignment="1">
      <alignment horizontal="center"/>
    </xf>
    <xf numFmtId="164" fontId="1" fillId="0" borderId="35" xfId="0" applyNumberFormat="1" applyFont="1" applyBorder="1" applyAlignment="1">
      <alignment horizontal="center"/>
    </xf>
    <xf numFmtId="164" fontId="0" fillId="0" borderId="3" xfId="0" applyNumberFormat="1" applyBorder="1" applyAlignment="1">
      <alignment horizontal="center"/>
    </xf>
    <xf numFmtId="0" fontId="0" fillId="3" borderId="37" xfId="0" applyFill="1" applyBorder="1"/>
    <xf numFmtId="1" fontId="18" fillId="0" borderId="3" xfId="0" applyNumberFormat="1" applyFont="1" applyBorder="1"/>
    <xf numFmtId="0" fontId="16" fillId="0" borderId="0" xfId="0" applyFont="1"/>
    <xf numFmtId="1" fontId="19" fillId="9" borderId="3" xfId="0" applyNumberFormat="1" applyFont="1" applyFill="1" applyBorder="1"/>
    <xf numFmtId="1" fontId="20" fillId="9" borderId="3" xfId="0" applyNumberFormat="1" applyFont="1" applyFill="1" applyBorder="1"/>
    <xf numFmtId="164" fontId="0" fillId="0" borderId="2" xfId="0" applyNumberFormat="1" applyBorder="1" applyAlignment="1">
      <alignment horizontal="center"/>
    </xf>
    <xf numFmtId="164" fontId="1" fillId="0" borderId="2" xfId="0" applyNumberFormat="1" applyFont="1" applyBorder="1" applyAlignment="1">
      <alignment horizontal="center"/>
    </xf>
    <xf numFmtId="164" fontId="1" fillId="0" borderId="38" xfId="0" applyNumberFormat="1" applyFont="1" applyBorder="1" applyAlignment="1">
      <alignment horizontal="center"/>
    </xf>
    <xf numFmtId="164" fontId="0" fillId="0" borderId="39" xfId="0" applyNumberFormat="1" applyBorder="1" applyAlignment="1">
      <alignment horizontal="center"/>
    </xf>
    <xf numFmtId="1" fontId="20" fillId="9" borderId="2" xfId="0" applyNumberFormat="1" applyFont="1" applyFill="1" applyBorder="1"/>
    <xf numFmtId="0" fontId="2" fillId="10" borderId="1" xfId="0" applyFont="1" applyFill="1" applyBorder="1" applyAlignment="1">
      <alignment horizontal="right"/>
    </xf>
    <xf numFmtId="0" fontId="22" fillId="0" borderId="0" xfId="0" applyFont="1" applyAlignment="1">
      <alignment vertical="center"/>
    </xf>
    <xf numFmtId="164" fontId="22" fillId="0" borderId="0" xfId="0" applyNumberFormat="1" applyFont="1" applyAlignment="1">
      <alignment vertical="center"/>
    </xf>
    <xf numFmtId="0" fontId="0" fillId="0" borderId="0" xfId="0" applyAlignment="1">
      <alignment vertical="top"/>
    </xf>
    <xf numFmtId="0" fontId="10" fillId="0" borderId="0" xfId="0" applyFont="1" applyAlignment="1">
      <alignment horizontal="right" vertical="center"/>
    </xf>
    <xf numFmtId="0" fontId="2" fillId="0" borderId="0" xfId="0" applyFont="1"/>
    <xf numFmtId="0" fontId="0" fillId="0" borderId="0" xfId="0" applyAlignment="1">
      <alignment horizontal="centerContinuous" vertical="top" wrapText="1"/>
    </xf>
    <xf numFmtId="0" fontId="7" fillId="0" borderId="0" xfId="0" applyFont="1" applyAlignment="1">
      <alignment horizontal="center"/>
    </xf>
    <xf numFmtId="0" fontId="7" fillId="0" borderId="0" xfId="0" applyFont="1" applyAlignment="1">
      <alignment horizontal="left"/>
    </xf>
    <xf numFmtId="0" fontId="0" fillId="0" borderId="0" xfId="0" applyAlignment="1">
      <alignment horizontal="left"/>
    </xf>
    <xf numFmtId="0" fontId="26" fillId="0" borderId="0" xfId="0" applyFont="1" applyAlignment="1">
      <alignment horizontal="left"/>
    </xf>
    <xf numFmtId="0" fontId="3" fillId="0" borderId="0" xfId="0" applyFont="1" applyAlignment="1">
      <alignment horizontal="center" vertical="center"/>
    </xf>
    <xf numFmtId="0" fontId="27" fillId="0" borderId="0" xfId="0" applyFont="1" applyAlignment="1">
      <alignment horizontal="centerContinuous"/>
    </xf>
    <xf numFmtId="164" fontId="0" fillId="15" borderId="43" xfId="0" applyNumberFormat="1" applyFill="1" applyBorder="1" applyAlignment="1">
      <alignment horizontal="center" vertical="center"/>
    </xf>
    <xf numFmtId="0" fontId="0" fillId="0" borderId="0" xfId="0" applyAlignment="1">
      <alignment vertical="top" wrapText="1"/>
    </xf>
    <xf numFmtId="0" fontId="27" fillId="0" borderId="0" xfId="0" applyFont="1" applyAlignment="1">
      <alignment horizontal="center"/>
    </xf>
    <xf numFmtId="0" fontId="27" fillId="0" borderId="45" xfId="0" applyFont="1" applyBorder="1" applyAlignment="1">
      <alignment horizontal="center"/>
    </xf>
    <xf numFmtId="0" fontId="0" fillId="0" borderId="0" xfId="0" applyAlignment="1">
      <alignment horizontal="center" vertical="top"/>
    </xf>
    <xf numFmtId="165" fontId="0" fillId="0" borderId="0" xfId="0" applyNumberFormat="1" applyAlignment="1">
      <alignment horizontal="center" vertical="top"/>
    </xf>
    <xf numFmtId="0" fontId="0" fillId="0" borderId="0" xfId="0" applyAlignment="1">
      <alignment horizontal="right" vertical="top"/>
    </xf>
    <xf numFmtId="0" fontId="11" fillId="0" borderId="48" xfId="0" applyFont="1" applyBorder="1" applyAlignment="1">
      <alignment horizontal="right" vertical="center"/>
    </xf>
    <xf numFmtId="0" fontId="0" fillId="0" borderId="0" xfId="0" applyAlignment="1">
      <alignment vertical="center"/>
    </xf>
    <xf numFmtId="0" fontId="0" fillId="0" borderId="49" xfId="0" applyBorder="1"/>
    <xf numFmtId="0" fontId="0" fillId="0" borderId="51" xfId="0" applyBorder="1"/>
    <xf numFmtId="0" fontId="0" fillId="0" borderId="52" xfId="0" applyBorder="1"/>
    <xf numFmtId="0" fontId="0" fillId="0" borderId="51" xfId="0" applyBorder="1" applyAlignment="1">
      <alignment horizontal="right" vertical="top"/>
    </xf>
    <xf numFmtId="165" fontId="0" fillId="0" borderId="51" xfId="0" applyNumberFormat="1" applyBorder="1" applyAlignment="1">
      <alignment horizontal="center" vertical="top"/>
    </xf>
    <xf numFmtId="0" fontId="0" fillId="0" borderId="51" xfId="0" applyBorder="1" applyAlignment="1">
      <alignment horizontal="center" vertical="top"/>
    </xf>
    <xf numFmtId="0" fontId="0" fillId="0" borderId="50" xfId="0" applyBorder="1"/>
    <xf numFmtId="0" fontId="25" fillId="0" borderId="0" xfId="2" applyProtection="1">
      <protection locked="0"/>
    </xf>
    <xf numFmtId="0" fontId="0" fillId="0" borderId="6" xfId="0" applyBorder="1"/>
    <xf numFmtId="0" fontId="6" fillId="0" borderId="0" xfId="0" quotePrefix="1" applyFont="1" applyAlignment="1">
      <alignment vertical="center"/>
    </xf>
    <xf numFmtId="165" fontId="0" fillId="0" borderId="0" xfId="0" applyNumberFormat="1" applyAlignment="1">
      <alignment horizontal="center" vertical="center"/>
    </xf>
    <xf numFmtId="0" fontId="27" fillId="0" borderId="0" xfId="0" applyFont="1" applyAlignment="1">
      <alignment horizontal="right"/>
    </xf>
    <xf numFmtId="0" fontId="28" fillId="0" borderId="0" xfId="0" applyFont="1" applyAlignment="1">
      <alignment horizontal="right" vertical="center"/>
    </xf>
    <xf numFmtId="0" fontId="29" fillId="0" borderId="0" xfId="0" applyFont="1" applyAlignment="1">
      <alignment horizontal="right" vertical="center"/>
    </xf>
    <xf numFmtId="0" fontId="10" fillId="0" borderId="0" xfId="0" applyFont="1" applyAlignment="1">
      <alignment horizontal="center" vertical="top"/>
    </xf>
    <xf numFmtId="164" fontId="28" fillId="0" borderId="44" xfId="0" applyNumberFormat="1" applyFont="1" applyBorder="1" applyAlignment="1" applyProtection="1">
      <alignment horizontal="center" vertical="center"/>
      <protection locked="0"/>
    </xf>
    <xf numFmtId="0" fontId="0" fillId="0" borderId="3" xfId="0" applyBorder="1" applyAlignment="1">
      <alignment horizontal="center"/>
    </xf>
    <xf numFmtId="0" fontId="0" fillId="0" borderId="4" xfId="0" applyBorder="1" applyAlignment="1">
      <alignment horizontal="center"/>
    </xf>
    <xf numFmtId="165" fontId="0" fillId="4" borderId="16" xfId="0" applyNumberFormat="1" applyFill="1" applyBorder="1"/>
    <xf numFmtId="166" fontId="0" fillId="0" borderId="0" xfId="0" applyNumberFormat="1"/>
    <xf numFmtId="165" fontId="0" fillId="0" borderId="0" xfId="0" applyNumberFormat="1"/>
    <xf numFmtId="0" fontId="2" fillId="5" borderId="5" xfId="0" applyFont="1" applyFill="1" applyBorder="1"/>
    <xf numFmtId="0" fontId="0" fillId="0" borderId="9" xfId="0" applyBorder="1" applyAlignment="1">
      <alignment horizontal="center"/>
    </xf>
    <xf numFmtId="0" fontId="0" fillId="0" borderId="10" xfId="0" applyBorder="1" applyAlignment="1">
      <alignment horizontal="center"/>
    </xf>
    <xf numFmtId="0" fontId="0" fillId="0" borderId="2" xfId="0" applyBorder="1" applyAlignment="1">
      <alignment horizontal="center"/>
    </xf>
    <xf numFmtId="0" fontId="2" fillId="8" borderId="21" xfId="0" applyFont="1" applyFill="1" applyBorder="1" applyAlignment="1">
      <alignment horizontal="right"/>
    </xf>
    <xf numFmtId="0" fontId="2" fillId="8" borderId="14" xfId="0" applyFont="1" applyFill="1" applyBorder="1" applyAlignment="1">
      <alignment horizontal="center"/>
    </xf>
    <xf numFmtId="1" fontId="15" fillId="4" borderId="14" xfId="0" applyNumberFormat="1" applyFont="1" applyFill="1" applyBorder="1" applyAlignment="1" applyProtection="1">
      <alignment horizontal="center"/>
      <protection locked="0"/>
    </xf>
    <xf numFmtId="1" fontId="32" fillId="0" borderId="54" xfId="0" applyNumberFormat="1" applyFont="1" applyBorder="1" applyAlignment="1">
      <alignment horizontal="center"/>
    </xf>
    <xf numFmtId="1" fontId="15" fillId="4" borderId="53" xfId="0" applyNumberFormat="1" applyFont="1" applyFill="1" applyBorder="1" applyAlignment="1" applyProtection="1">
      <alignment horizontal="right" indent="2"/>
      <protection locked="0"/>
    </xf>
    <xf numFmtId="1" fontId="15" fillId="4" borderId="15" xfId="0" applyNumberFormat="1" applyFont="1" applyFill="1" applyBorder="1" applyAlignment="1" applyProtection="1">
      <alignment horizontal="right" indent="2"/>
      <protection locked="0"/>
    </xf>
    <xf numFmtId="0" fontId="0" fillId="0" borderId="55" xfId="0" applyBorder="1" applyAlignment="1">
      <alignment horizontal="right" indent="2"/>
    </xf>
    <xf numFmtId="1" fontId="32" fillId="0" borderId="56" xfId="0" applyNumberFormat="1" applyFont="1" applyBorder="1"/>
    <xf numFmtId="1" fontId="32" fillId="0" borderId="57" xfId="0" applyNumberFormat="1" applyFont="1" applyBorder="1"/>
    <xf numFmtId="165" fontId="0" fillId="0" borderId="55" xfId="0" applyNumberFormat="1" applyBorder="1" applyAlignment="1">
      <alignment horizontal="right" indent="2"/>
    </xf>
    <xf numFmtId="165" fontId="32" fillId="0" borderId="57" xfId="0" applyNumberFormat="1" applyFont="1" applyBorder="1"/>
    <xf numFmtId="165" fontId="0" fillId="0" borderId="58" xfId="0" applyNumberFormat="1" applyBorder="1" applyAlignment="1">
      <alignment horizontal="right" indent="2"/>
    </xf>
    <xf numFmtId="165" fontId="32" fillId="0" borderId="59" xfId="0" applyNumberFormat="1" applyFont="1" applyBorder="1"/>
    <xf numFmtId="0" fontId="21" fillId="5" borderId="60" xfId="0" applyFont="1" applyFill="1" applyBorder="1" applyAlignment="1">
      <alignment horizontal="center"/>
    </xf>
    <xf numFmtId="0" fontId="2" fillId="8" borderId="61" xfId="0" applyFont="1" applyFill="1" applyBorder="1" applyAlignment="1">
      <alignment horizontal="right"/>
    </xf>
    <xf numFmtId="0" fontId="0" fillId="0" borderId="62" xfId="0" applyBorder="1" applyAlignment="1">
      <alignment horizontal="right" indent="2"/>
    </xf>
    <xf numFmtId="1" fontId="15" fillId="4" borderId="61" xfId="0" applyNumberFormat="1" applyFont="1" applyFill="1" applyBorder="1" applyAlignment="1" applyProtection="1">
      <alignment horizontal="center"/>
      <protection locked="0"/>
    </xf>
    <xf numFmtId="0" fontId="2" fillId="5" borderId="1" xfId="0" applyFont="1" applyFill="1" applyBorder="1" applyAlignment="1">
      <alignment horizontal="right" vertical="top"/>
    </xf>
    <xf numFmtId="0" fontId="2" fillId="8" borderId="14" xfId="0" applyFont="1" applyFill="1" applyBorder="1" applyAlignment="1">
      <alignment horizontal="center" vertical="top"/>
    </xf>
    <xf numFmtId="0" fontId="10" fillId="16" borderId="1" xfId="0" applyFont="1" applyFill="1" applyBorder="1" applyAlignment="1">
      <alignment horizontal="center" vertical="top"/>
    </xf>
    <xf numFmtId="0" fontId="34" fillId="16" borderId="1" xfId="0" applyFont="1" applyFill="1" applyBorder="1" applyAlignment="1">
      <alignment horizontal="center" vertical="top"/>
    </xf>
    <xf numFmtId="0" fontId="33" fillId="16" borderId="1" xfId="0" applyFont="1" applyFill="1" applyBorder="1" applyAlignment="1">
      <alignment horizontal="center" vertical="top"/>
    </xf>
    <xf numFmtId="0" fontId="11" fillId="16" borderId="1" xfId="0" applyFont="1" applyFill="1" applyBorder="1" applyAlignment="1">
      <alignment horizontal="center" vertical="top"/>
    </xf>
    <xf numFmtId="0" fontId="15" fillId="16" borderId="1" xfId="0" applyFont="1" applyFill="1" applyBorder="1" applyAlignment="1">
      <alignment horizontal="center" vertical="top"/>
    </xf>
    <xf numFmtId="0" fontId="14" fillId="16" borderId="5" xfId="0" applyFont="1" applyFill="1" applyBorder="1" applyAlignment="1">
      <alignment horizontal="center" vertical="top"/>
    </xf>
    <xf numFmtId="1" fontId="15" fillId="4" borderId="17" xfId="0" applyNumberFormat="1" applyFont="1" applyFill="1" applyBorder="1" applyAlignment="1" applyProtection="1">
      <alignment horizontal="right" indent="2"/>
      <protection locked="0"/>
    </xf>
    <xf numFmtId="164" fontId="0" fillId="0" borderId="63" xfId="0" applyNumberFormat="1" applyBorder="1" applyAlignment="1">
      <alignment horizontal="center"/>
    </xf>
    <xf numFmtId="0" fontId="2" fillId="10" borderId="5" xfId="0" applyFont="1" applyFill="1" applyBorder="1" applyAlignment="1">
      <alignment horizontal="right"/>
    </xf>
    <xf numFmtId="0" fontId="2" fillId="2" borderId="64" xfId="0" applyFont="1" applyFill="1" applyBorder="1" applyAlignment="1">
      <alignment horizontal="right"/>
    </xf>
    <xf numFmtId="164" fontId="0" fillId="0" borderId="0" xfId="0" applyNumberFormat="1"/>
    <xf numFmtId="0" fontId="6" fillId="0" borderId="0" xfId="0" applyFont="1" applyAlignment="1">
      <alignment horizontal="left" indent="2"/>
    </xf>
    <xf numFmtId="0" fontId="34" fillId="0" borderId="0" xfId="0" applyFont="1"/>
    <xf numFmtId="0" fontId="16" fillId="0" borderId="0" xfId="0" quotePrefix="1" applyFont="1"/>
    <xf numFmtId="0" fontId="16" fillId="0" borderId="0" xfId="0" quotePrefix="1" applyFont="1" applyAlignment="1">
      <alignment horizontal="left"/>
    </xf>
    <xf numFmtId="0" fontId="16" fillId="0" borderId="0" xfId="0" applyFont="1" applyAlignment="1">
      <alignment horizontal="left" vertical="center" indent="1"/>
    </xf>
    <xf numFmtId="0" fontId="35" fillId="0" borderId="0" xfId="0" applyFont="1" applyAlignment="1">
      <alignment horizontal="center" vertical="center"/>
    </xf>
    <xf numFmtId="0" fontId="36" fillId="0" borderId="0" xfId="0" applyFont="1"/>
    <xf numFmtId="165" fontId="0" fillId="15" borderId="42" xfId="0" applyNumberFormat="1" applyFill="1" applyBorder="1" applyAlignment="1">
      <alignment horizontal="left" vertical="center"/>
    </xf>
    <xf numFmtId="165" fontId="0" fillId="15" borderId="43" xfId="0" applyNumberFormat="1" applyFill="1" applyBorder="1" applyAlignment="1">
      <alignment horizontal="left" vertical="center" indent="1"/>
    </xf>
    <xf numFmtId="0" fontId="27" fillId="0" borderId="45" xfId="0" applyFont="1" applyBorder="1" applyAlignment="1">
      <alignment horizontal="right"/>
    </xf>
    <xf numFmtId="165" fontId="0" fillId="15" borderId="43" xfId="0" applyNumberFormat="1" applyFill="1" applyBorder="1" applyAlignment="1">
      <alignment horizontal="left" vertical="center"/>
    </xf>
    <xf numFmtId="167" fontId="2" fillId="15" borderId="5" xfId="0" applyNumberFormat="1" applyFont="1" applyFill="1" applyBorder="1" applyAlignment="1">
      <alignment horizontal="left" vertical="center" indent="1"/>
    </xf>
    <xf numFmtId="164" fontId="1" fillId="0" borderId="41" xfId="0" applyNumberFormat="1" applyFont="1" applyBorder="1" applyAlignment="1">
      <alignment horizontal="center"/>
    </xf>
    <xf numFmtId="164" fontId="0" fillId="0" borderId="40" xfId="0" applyNumberFormat="1" applyBorder="1" applyAlignment="1">
      <alignment horizontal="center"/>
    </xf>
    <xf numFmtId="164" fontId="1" fillId="0" borderId="36" xfId="0" applyNumberFormat="1" applyFont="1" applyBorder="1" applyAlignment="1">
      <alignment horizontal="center"/>
    </xf>
    <xf numFmtId="164" fontId="1" fillId="0" borderId="7" xfId="0" applyNumberFormat="1" applyFont="1" applyBorder="1" applyAlignment="1">
      <alignment horizontal="center"/>
    </xf>
    <xf numFmtId="164" fontId="0" fillId="0" borderId="36" xfId="0" applyNumberFormat="1" applyBorder="1" applyAlignment="1">
      <alignment horizontal="center"/>
    </xf>
    <xf numFmtId="164" fontId="0" fillId="0" borderId="32" xfId="0" applyNumberFormat="1" applyBorder="1" applyAlignment="1">
      <alignment horizontal="center"/>
    </xf>
    <xf numFmtId="164" fontId="1" fillId="0" borderId="31" xfId="0" applyNumberFormat="1" applyFont="1" applyBorder="1" applyAlignment="1">
      <alignment horizontal="center"/>
    </xf>
    <xf numFmtId="164" fontId="0" fillId="15" borderId="43" xfId="0" applyNumberFormat="1" applyFill="1" applyBorder="1" applyAlignment="1">
      <alignment horizontal="left" vertical="center"/>
    </xf>
    <xf numFmtId="165" fontId="0" fillId="15" borderId="43" xfId="0" applyNumberFormat="1" applyFill="1" applyBorder="1" applyAlignment="1">
      <alignment horizontal="left" vertical="center" indent="2"/>
    </xf>
    <xf numFmtId="165" fontId="0" fillId="15" borderId="42" xfId="0" applyNumberFormat="1" applyFill="1" applyBorder="1" applyAlignment="1">
      <alignment horizontal="center" vertical="center"/>
    </xf>
    <xf numFmtId="164" fontId="0" fillId="0" borderId="3" xfId="0" applyNumberFormat="1" applyBorder="1"/>
    <xf numFmtId="164" fontId="0" fillId="0" borderId="4" xfId="0" applyNumberFormat="1" applyBorder="1"/>
    <xf numFmtId="0" fontId="6" fillId="0" borderId="0" xfId="0" applyFont="1" applyAlignment="1">
      <alignment horizontal="center"/>
    </xf>
    <xf numFmtId="164" fontId="3" fillId="2" borderId="1" xfId="0" applyNumberFormat="1" applyFont="1" applyFill="1" applyBorder="1" applyAlignment="1">
      <alignment horizontal="center"/>
    </xf>
    <xf numFmtId="164" fontId="37" fillId="0" borderId="23" xfId="0" applyNumberFormat="1" applyFont="1" applyBorder="1" applyAlignment="1" applyProtection="1">
      <alignment horizontal="center"/>
      <protection locked="0"/>
    </xf>
    <xf numFmtId="164" fontId="38" fillId="2" borderId="42" xfId="0" applyNumberFormat="1" applyFont="1" applyFill="1" applyBorder="1" applyAlignment="1">
      <alignment horizontal="center"/>
    </xf>
    <xf numFmtId="164" fontId="38" fillId="2" borderId="1" xfId="0" applyNumberFormat="1" applyFont="1" applyFill="1" applyBorder="1" applyAlignment="1">
      <alignment horizontal="center"/>
    </xf>
    <xf numFmtId="167" fontId="2" fillId="17" borderId="5" xfId="0" applyNumberFormat="1" applyFont="1" applyFill="1" applyBorder="1" applyAlignment="1">
      <alignment horizontal="left" vertical="center" indent="1"/>
    </xf>
    <xf numFmtId="165" fontId="0" fillId="17" borderId="43" xfId="0" applyNumberFormat="1" applyFill="1" applyBorder="1" applyAlignment="1">
      <alignment horizontal="left" vertical="center"/>
    </xf>
    <xf numFmtId="164" fontId="0" fillId="17" borderId="43" xfId="0" applyNumberFormat="1" applyFill="1" applyBorder="1" applyAlignment="1">
      <alignment horizontal="left" vertical="center"/>
    </xf>
    <xf numFmtId="165" fontId="0" fillId="17" borderId="42" xfId="0" applyNumberFormat="1" applyFill="1" applyBorder="1" applyAlignment="1">
      <alignment horizontal="center" vertical="center"/>
    </xf>
    <xf numFmtId="167" fontId="0" fillId="17" borderId="43" xfId="0" applyNumberFormat="1" applyFill="1" applyBorder="1" applyAlignment="1">
      <alignment horizontal="left" vertical="center"/>
    </xf>
    <xf numFmtId="167" fontId="0" fillId="17" borderId="43" xfId="0" applyNumberForma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xf>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horizontal="left"/>
    </xf>
    <xf numFmtId="0" fontId="39" fillId="4" borderId="65" xfId="0" applyFont="1" applyFill="1" applyBorder="1" applyAlignment="1">
      <alignment horizontal="left" vertical="top"/>
    </xf>
    <xf numFmtId="0" fontId="39" fillId="4" borderId="66" xfId="0" applyFont="1" applyFill="1" applyBorder="1" applyAlignment="1">
      <alignment horizontal="left" vertical="top"/>
    </xf>
    <xf numFmtId="0" fontId="39" fillId="4" borderId="66" xfId="0" applyFont="1" applyFill="1" applyBorder="1" applyAlignment="1">
      <alignment horizontal="center" vertical="top"/>
    </xf>
    <xf numFmtId="0" fontId="39" fillId="4" borderId="66" xfId="0" applyFont="1" applyFill="1" applyBorder="1" applyAlignment="1">
      <alignment vertical="top"/>
    </xf>
    <xf numFmtId="0" fontId="40" fillId="4" borderId="66" xfId="0" applyFont="1" applyFill="1" applyBorder="1" applyAlignment="1">
      <alignment horizontal="right" vertical="top"/>
    </xf>
    <xf numFmtId="0" fontId="39" fillId="4" borderId="66" xfId="0" applyFont="1" applyFill="1" applyBorder="1" applyAlignment="1">
      <alignment horizontal="right" vertical="top"/>
    </xf>
    <xf numFmtId="0" fontId="39" fillId="4" borderId="67" xfId="0" applyFont="1" applyFill="1" applyBorder="1" applyAlignment="1">
      <alignment vertical="top"/>
    </xf>
    <xf numFmtId="0" fontId="17" fillId="0" borderId="51" xfId="0" applyFont="1" applyBorder="1"/>
    <xf numFmtId="0" fontId="6" fillId="0" borderId="51" xfId="0" applyFont="1" applyBorder="1"/>
    <xf numFmtId="0" fontId="40" fillId="4" borderId="66" xfId="0" applyFont="1" applyFill="1" applyBorder="1" applyAlignment="1" applyProtection="1">
      <alignment vertical="top"/>
      <protection locked="0"/>
    </xf>
    <xf numFmtId="0" fontId="41" fillId="0" borderId="0" xfId="0" applyFont="1"/>
    <xf numFmtId="0" fontId="6" fillId="0" borderId="0" xfId="0" applyFont="1" applyAlignment="1">
      <alignment horizontal="left" vertical="center" indent="1"/>
    </xf>
    <xf numFmtId="0" fontId="0" fillId="14" borderId="3" xfId="0" applyFill="1" applyBorder="1"/>
    <xf numFmtId="0" fontId="0" fillId="17" borderId="3" xfId="0" applyFill="1" applyBorder="1"/>
    <xf numFmtId="0" fontId="0" fillId="12" borderId="3" xfId="0" applyFill="1" applyBorder="1"/>
    <xf numFmtId="0" fontId="0" fillId="11" borderId="3" xfId="0" applyFill="1" applyBorder="1"/>
    <xf numFmtId="0" fontId="0" fillId="13" borderId="3" xfId="0" applyFill="1" applyBorder="1"/>
    <xf numFmtId="164" fontId="0" fillId="15" borderId="43" xfId="0" applyNumberFormat="1" applyFill="1" applyBorder="1" applyAlignment="1">
      <alignment horizontal="left" vertical="center" indent="4"/>
    </xf>
    <xf numFmtId="165" fontId="0" fillId="15" borderId="42" xfId="0" applyNumberFormat="1" applyFill="1" applyBorder="1" applyAlignment="1">
      <alignment horizontal="left" vertical="center" indent="5"/>
    </xf>
    <xf numFmtId="0" fontId="25" fillId="0" borderId="0" xfId="2"/>
    <xf numFmtId="0" fontId="43" fillId="0" borderId="0" xfId="0" applyFont="1"/>
    <xf numFmtId="165" fontId="0" fillId="17" borderId="42" xfId="0" applyNumberFormat="1" applyFill="1" applyBorder="1" applyAlignment="1">
      <alignment horizontal="right" vertical="center"/>
    </xf>
    <xf numFmtId="0" fontId="0" fillId="0" borderId="0" xfId="0" applyAlignment="1">
      <alignment horizontal="center" vertical="center"/>
    </xf>
    <xf numFmtId="0" fontId="27" fillId="0" borderId="0" xfId="0" applyFont="1" applyAlignment="1">
      <alignment horizontal="left" indent="3"/>
    </xf>
    <xf numFmtId="0" fontId="10" fillId="17" borderId="42" xfId="0" applyFont="1" applyFill="1" applyBorder="1" applyAlignment="1" applyProtection="1">
      <alignment horizontal="left" vertical="center"/>
      <protection locked="0"/>
    </xf>
    <xf numFmtId="167" fontId="10" fillId="17" borderId="43" xfId="0" applyNumberFormat="1" applyFont="1" applyFill="1" applyBorder="1" applyAlignment="1" applyProtection="1">
      <alignment horizontal="left" vertical="center" indent="1"/>
      <protection locked="0"/>
    </xf>
    <xf numFmtId="0" fontId="0" fillId="17" borderId="43" xfId="0" applyFill="1" applyBorder="1" applyAlignment="1">
      <alignment horizontal="right" vertical="center"/>
    </xf>
    <xf numFmtId="165" fontId="0" fillId="17" borderId="43" xfId="0" applyNumberFormat="1" applyFill="1" applyBorder="1" applyAlignment="1">
      <alignment horizontal="left" vertical="center" indent="2"/>
    </xf>
    <xf numFmtId="0" fontId="48" fillId="0" borderId="0" xfId="0" applyFont="1" applyAlignment="1">
      <alignment vertical="center"/>
    </xf>
    <xf numFmtId="0" fontId="49" fillId="0" borderId="0" xfId="0" applyFont="1" applyAlignment="1">
      <alignment horizontal="center" vertical="center"/>
    </xf>
    <xf numFmtId="165" fontId="28" fillId="0" borderId="44" xfId="0" applyNumberFormat="1" applyFont="1" applyBorder="1" applyAlignment="1" applyProtection="1">
      <alignment horizontal="center" vertical="center"/>
      <protection locked="0"/>
    </xf>
    <xf numFmtId="165" fontId="29" fillId="0" borderId="46" xfId="0" applyNumberFormat="1" applyFont="1" applyBorder="1" applyAlignment="1" applyProtection="1">
      <alignment horizontal="center" vertical="center"/>
      <protection locked="0"/>
    </xf>
    <xf numFmtId="165" fontId="31" fillId="0" borderId="68" xfId="0" applyNumberFormat="1" applyFont="1" applyBorder="1" applyAlignment="1" applyProtection="1">
      <alignment horizontal="center" vertical="center"/>
      <protection locked="0"/>
    </xf>
    <xf numFmtId="0" fontId="6" fillId="0" borderId="0" xfId="0" applyFont="1" applyAlignment="1">
      <alignment horizontal="left" indent="6"/>
    </xf>
    <xf numFmtId="0" fontId="6" fillId="3" borderId="0" xfId="0" applyFont="1" applyFill="1" applyAlignment="1">
      <alignment horizontal="centerContinuous"/>
    </xf>
    <xf numFmtId="0" fontId="0" fillId="3" borderId="0" xfId="0" applyFill="1" applyAlignment="1">
      <alignment horizontal="centerContinuous"/>
    </xf>
    <xf numFmtId="0" fontId="0" fillId="3" borderId="0" xfId="0" applyFill="1"/>
    <xf numFmtId="0" fontId="3" fillId="3" borderId="0" xfId="0" applyFont="1" applyFill="1" applyAlignment="1">
      <alignment horizontal="center" vertical="top"/>
    </xf>
    <xf numFmtId="165" fontId="0" fillId="3" borderId="0" xfId="0" applyNumberFormat="1" applyFill="1" applyAlignment="1">
      <alignment horizontal="center" vertical="top"/>
    </xf>
    <xf numFmtId="0" fontId="0" fillId="3" borderId="0" xfId="0" applyFill="1" applyAlignment="1">
      <alignment horizontal="left" indent="2"/>
    </xf>
    <xf numFmtId="0" fontId="0" fillId="3" borderId="0" xfId="0" applyFill="1" applyAlignment="1">
      <alignment horizontal="left" indent="1"/>
    </xf>
    <xf numFmtId="0" fontId="10" fillId="3" borderId="0" xfId="0" applyFont="1" applyFill="1" applyAlignment="1">
      <alignment horizontal="center" vertical="top"/>
    </xf>
    <xf numFmtId="0" fontId="11" fillId="3" borderId="0" xfId="0" applyFont="1" applyFill="1" applyAlignment="1">
      <alignment horizontal="left" vertical="top" indent="1"/>
    </xf>
    <xf numFmtId="1" fontId="0" fillId="3" borderId="0" xfId="0" applyNumberFormat="1" applyFill="1" applyAlignment="1">
      <alignment horizontal="center"/>
    </xf>
    <xf numFmtId="0" fontId="34" fillId="3" borderId="0" xfId="0" applyFont="1" applyFill="1" applyAlignment="1">
      <alignment horizontal="center"/>
    </xf>
    <xf numFmtId="0" fontId="11" fillId="0" borderId="0" xfId="0" applyFont="1" applyAlignment="1">
      <alignment horizontal="center" vertical="top"/>
    </xf>
    <xf numFmtId="167" fontId="30" fillId="0" borderId="47" xfId="0" applyNumberFormat="1" applyFont="1" applyBorder="1" applyAlignment="1" applyProtection="1">
      <alignment horizontal="center" vertical="center"/>
      <protection locked="0"/>
    </xf>
    <xf numFmtId="165" fontId="30" fillId="0" borderId="47" xfId="0" applyNumberFormat="1" applyFont="1" applyBorder="1" applyAlignment="1" applyProtection="1">
      <alignment horizontal="center" vertical="center"/>
      <protection locked="0"/>
    </xf>
    <xf numFmtId="167" fontId="28" fillId="0" borderId="44" xfId="0" applyNumberFormat="1" applyFont="1" applyBorder="1" applyAlignment="1" applyProtection="1">
      <alignment horizontal="center" vertical="center"/>
      <protection locked="0"/>
    </xf>
    <xf numFmtId="0" fontId="7" fillId="0" borderId="0" xfId="0" applyFont="1" applyAlignment="1">
      <alignment horizontal="center"/>
    </xf>
  </cellXfs>
  <cellStyles count="3">
    <cellStyle name="Hyperlink" xfId="2" builtinId="8"/>
    <cellStyle name="Standaard" xfId="0" builtinId="0"/>
    <cellStyle name="Standaard 2" xfId="1" xr:uid="{00C59AC9-946F-43F0-A005-AFFFDB4FD193}"/>
  </cellStyles>
  <dxfs count="23">
    <dxf>
      <font>
        <b/>
        <i val="0"/>
        <strike val="0"/>
      </font>
    </dxf>
    <dxf>
      <font>
        <b/>
        <i val="0"/>
        <strike val="0"/>
      </font>
    </dxf>
    <dxf>
      <font>
        <strike val="0"/>
        <color theme="9" tint="0.79998168889431442"/>
      </font>
    </dxf>
    <dxf>
      <font>
        <strike val="0"/>
        <color theme="9" tint="0.79998168889431442"/>
      </font>
    </dxf>
    <dxf>
      <fill>
        <patternFill>
          <bgColor rgb="FFFFFF00"/>
        </patternFill>
      </fill>
    </dxf>
    <dxf>
      <font>
        <b/>
        <i val="0"/>
        <strike val="0"/>
      </font>
      <fill>
        <patternFill>
          <bgColor theme="9" tint="0.79998168889431442"/>
        </patternFill>
      </fill>
    </dxf>
    <dxf>
      <font>
        <b/>
        <i val="0"/>
        <strike val="0"/>
      </font>
      <fill>
        <patternFill>
          <bgColor theme="9" tint="0.79998168889431442"/>
        </patternFill>
      </fill>
    </dxf>
    <dxf>
      <font>
        <color theme="0" tint="-0.14996795556505021"/>
      </font>
      <fill>
        <patternFill>
          <bgColor theme="0" tint="-0.14996795556505021"/>
        </patternFill>
      </fill>
      <border>
        <left style="thin">
          <color rgb="FFFF0000"/>
        </left>
        <right/>
        <top/>
        <bottom/>
      </border>
    </dxf>
    <dxf>
      <font>
        <color theme="0" tint="-0.14996795556505021"/>
      </font>
      <fill>
        <patternFill>
          <bgColor theme="0" tint="-0.14996795556505021"/>
        </patternFill>
      </fill>
      <border>
        <left/>
        <right/>
        <top/>
        <bottom/>
        <vertical/>
        <horizontal/>
      </border>
    </dxf>
    <dxf>
      <font>
        <color theme="0"/>
      </font>
      <fill>
        <patternFill>
          <bgColor theme="0"/>
        </patternFill>
      </fill>
    </dxf>
    <dxf>
      <numFmt numFmtId="164" formatCode="0.0"/>
      <fill>
        <patternFill>
          <bgColor rgb="FFC9A6E4"/>
        </patternFill>
      </fill>
    </dxf>
    <dxf>
      <font>
        <b val="0"/>
        <i val="0"/>
        <strike val="0"/>
      </font>
      <fill>
        <patternFill>
          <bgColor rgb="FFFFFFCC"/>
        </patternFill>
      </fill>
    </dxf>
    <dxf>
      <font>
        <b/>
        <i val="0"/>
        <color auto="1"/>
      </font>
      <fill>
        <patternFill>
          <bgColor rgb="FFFFC7CE"/>
        </patternFill>
      </fill>
    </dxf>
    <dxf>
      <font>
        <b/>
        <i val="0"/>
      </font>
      <fill>
        <patternFill>
          <bgColor theme="8" tint="0.59996337778862885"/>
        </patternFill>
      </fill>
    </dxf>
    <dxf>
      <font>
        <b/>
        <i val="0"/>
      </font>
      <fill>
        <patternFill>
          <bgColor rgb="FFFF9953"/>
        </patternFill>
      </fill>
    </dxf>
    <dxf>
      <font>
        <b/>
        <i val="0"/>
        <strike val="0"/>
        <color rgb="FF00B050"/>
      </font>
      <fill>
        <patternFill>
          <bgColor rgb="FFFFFF66"/>
        </patternFill>
      </fill>
    </dxf>
    <dxf>
      <font>
        <b val="0"/>
        <i val="0"/>
        <strike val="0"/>
      </font>
      <fill>
        <patternFill>
          <bgColor rgb="FFFFFFCC"/>
        </patternFill>
      </fill>
    </dxf>
    <dxf>
      <font>
        <b/>
        <i val="0"/>
        <color auto="1"/>
      </font>
      <fill>
        <patternFill>
          <bgColor rgb="FFFFC7CE"/>
        </patternFill>
      </fill>
    </dxf>
    <dxf>
      <font>
        <b/>
        <i val="0"/>
      </font>
      <fill>
        <patternFill>
          <bgColor theme="8" tint="0.59996337778862885"/>
        </patternFill>
      </fill>
    </dxf>
    <dxf>
      <font>
        <b/>
        <i val="0"/>
      </font>
      <fill>
        <patternFill>
          <bgColor rgb="FFFF9953"/>
        </patternFill>
      </fill>
    </dxf>
    <dxf>
      <font>
        <b/>
        <i val="0"/>
        <strike val="0"/>
        <color rgb="FF00B050"/>
      </font>
      <fill>
        <patternFill>
          <bgColor rgb="FFFFFF66"/>
        </patternFill>
      </fill>
    </dxf>
    <dxf>
      <font>
        <color rgb="FFC00000"/>
      </font>
      <numFmt numFmtId="1" formatCode="0"/>
      <border>
        <left style="thin">
          <color rgb="FFC00000"/>
        </left>
        <right style="thin">
          <color rgb="FFC00000"/>
        </right>
        <top style="thin">
          <color rgb="FFC00000"/>
        </top>
        <bottom style="thin">
          <color rgb="FFC00000"/>
        </bottom>
      </border>
    </dxf>
    <dxf>
      <fill>
        <patternFill>
          <bgColor rgb="FFC9A6E4"/>
        </patternFill>
      </fill>
    </dxf>
  </dxfs>
  <tableStyles count="0" defaultTableStyle="TableStyleMedium2" defaultPivotStyle="PivotStyleLight16"/>
  <colors>
    <mruColors>
      <color rgb="FF993366"/>
      <color rgb="FFFFFF66"/>
      <color rgb="FFFFFFCC"/>
      <color rgb="FFFFFF99"/>
      <color rgb="FFEDF1F9"/>
      <color rgb="FFE5EBF7"/>
      <color rgb="FFFFFFB7"/>
      <color rgb="FFC6E0B4"/>
      <color rgb="FFF4F9F1"/>
      <color rgb="FFEAF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hartsheet" Target="chartsheets/sheet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nl-NL" sz="1800" b="1">
                <a:solidFill>
                  <a:sysClr val="windowText" lastClr="000000"/>
                </a:solidFill>
                <a:latin typeface="+mn-lt"/>
              </a:rPr>
              <a:t>Stooklijnen Elga Ace </a:t>
            </a:r>
          </a:p>
          <a:p>
            <a:pPr>
              <a:defRPr sz="1800" b="1">
                <a:solidFill>
                  <a:sysClr val="windowText" lastClr="000000"/>
                </a:solidFill>
              </a:defRPr>
            </a:pPr>
            <a:r>
              <a:rPr lang="nl-NL" sz="1200" b="0" i="1">
                <a:solidFill>
                  <a:sysClr val="windowText" lastClr="000000"/>
                </a:solidFill>
                <a:latin typeface="+mn-lt"/>
              </a:rPr>
              <a:t>gekozen: voetpunt             </a:t>
            </a:r>
            <a:r>
              <a:rPr lang="nl-NL" sz="1200" b="0" i="1">
                <a:solidFill>
                  <a:schemeClr val="tx1"/>
                </a:solidFill>
                <a:latin typeface="+mn-lt"/>
                <a:cs typeface="Calibri" panose="020F0502020204030204" pitchFamily="34" charset="0"/>
              </a:rPr>
              <a:t>(CP210)</a:t>
            </a:r>
            <a:r>
              <a:rPr lang="nl-NL" sz="1200" b="0" i="1" baseline="0">
                <a:solidFill>
                  <a:schemeClr val="tx1"/>
                </a:solidFill>
                <a:latin typeface="+mn-lt"/>
                <a:cs typeface="Calibri" panose="020F0502020204030204" pitchFamily="34" charset="0"/>
              </a:rPr>
              <a:t> ,</a:t>
            </a:r>
            <a:r>
              <a:rPr lang="nl-NL" sz="1200" b="0" i="1">
                <a:solidFill>
                  <a:schemeClr val="tx1"/>
                </a:solidFill>
                <a:latin typeface="+mn-lt"/>
                <a:cs typeface="Calibri" panose="020F0502020204030204" pitchFamily="34" charset="0"/>
              </a:rPr>
              <a:t> SL-gradiënt         (CP230) , Tk</a:t>
            </a:r>
            <a:r>
              <a:rPr lang="nl-NL" sz="1200" b="0" i="1" baseline="-25000">
                <a:solidFill>
                  <a:schemeClr val="tx1"/>
                </a:solidFill>
                <a:latin typeface="+mn-lt"/>
                <a:cs typeface="Calibri" panose="020F0502020204030204" pitchFamily="34" charset="0"/>
              </a:rPr>
              <a:t>gemeten                  </a:t>
            </a:r>
            <a:r>
              <a:rPr lang="nl-NL" sz="1200" b="0" i="1" u="none" strike="noStrike" kern="1200" spc="0" baseline="0">
                <a:solidFill>
                  <a:sysClr val="windowText" lastClr="000000"/>
                </a:solidFill>
                <a:latin typeface="+mn-lt"/>
                <a:cs typeface="Calibri" panose="020F0502020204030204" pitchFamily="34" charset="0"/>
              </a:rPr>
              <a:t>,</a:t>
            </a:r>
            <a:r>
              <a:rPr lang="nl-NL" sz="1200" b="0" i="1" u="none" strike="noStrike" kern="1200" spc="0" baseline="0">
                <a:solidFill>
                  <a:sysClr val="windowText" lastClr="000000"/>
                </a:solidFill>
                <a:cs typeface="Calibri" panose="020F0502020204030204" pitchFamily="34" charset="0"/>
              </a:rPr>
              <a:t> Tk</a:t>
            </a:r>
            <a:r>
              <a:rPr lang="nl-NL" sz="1200" b="0" i="1" u="none" strike="noStrike" kern="1200" spc="0" baseline="-25000">
                <a:solidFill>
                  <a:sysClr val="windowText" lastClr="000000"/>
                </a:solidFill>
                <a:cs typeface="Calibri" panose="020F0502020204030204" pitchFamily="34" charset="0"/>
              </a:rPr>
              <a:t>gewenst </a:t>
            </a:r>
            <a:r>
              <a:rPr lang="nl-NL" sz="1200" b="0" i="1" u="none" strike="noStrike" kern="1200" spc="0" baseline="-25000">
                <a:solidFill>
                  <a:srgbClr val="00B050"/>
                </a:solidFill>
                <a:cs typeface="Calibri" panose="020F0502020204030204" pitchFamily="34" charset="0"/>
              </a:rPr>
              <a:t>               </a:t>
            </a:r>
            <a:r>
              <a:rPr lang="nl-NL" sz="1200" b="0" i="1" u="none" strike="noStrike" kern="1200" spc="0" baseline="0">
                <a:solidFill>
                  <a:sysClr val="windowText" lastClr="000000"/>
                </a:solidFill>
                <a:cs typeface="Calibri" panose="020F0502020204030204" pitchFamily="34" charset="0"/>
              </a:rPr>
              <a:t>   , Tb</a:t>
            </a:r>
            <a:r>
              <a:rPr lang="nl-NL" sz="1200" b="0" i="1" u="none" strike="noStrike" kern="1200" spc="0" baseline="-25000">
                <a:solidFill>
                  <a:sysClr val="windowText" lastClr="000000"/>
                </a:solidFill>
                <a:cs typeface="Calibri" panose="020F0502020204030204" pitchFamily="34" charset="0"/>
              </a:rPr>
              <a:t>sensor</a:t>
            </a:r>
            <a:r>
              <a:rPr lang="nl-NL" sz="1200" b="0" i="1" u="none" strike="noStrike" kern="1200" spc="0" baseline="0">
                <a:solidFill>
                  <a:sysClr val="windowText" lastClr="000000"/>
                </a:solidFill>
                <a:cs typeface="Calibri" panose="020F0502020204030204" pitchFamily="34" charset="0"/>
              </a:rPr>
              <a:t>        </a:t>
            </a:r>
            <a:r>
              <a:rPr lang="nl-NL" sz="1200" b="0" i="0" u="none" strike="noStrike" kern="1200" spc="0" baseline="-25000">
                <a:solidFill>
                  <a:srgbClr val="00B050"/>
                </a:solidFill>
                <a:cs typeface="Calibri" panose="020F0502020204030204" pitchFamily="34" charset="0"/>
              </a:rPr>
              <a:t> </a:t>
            </a:r>
            <a:r>
              <a:rPr lang="nl-NL" sz="1200" b="0" i="0" u="none" strike="noStrike" kern="1200" spc="0" baseline="-25000">
                <a:solidFill>
                  <a:sysClr val="windowText" lastClr="000000"/>
                </a:solidFill>
                <a:cs typeface="Calibri" panose="020F0502020204030204" pitchFamily="34" charset="0"/>
              </a:rPr>
              <a:t>                </a:t>
            </a:r>
            <a:r>
              <a:rPr lang="nl-NL" sz="1200" b="0" i="1" u="none" strike="noStrike" kern="1200" spc="0" baseline="0">
                <a:solidFill>
                  <a:sysClr val="windowText" lastClr="000000"/>
                </a:solidFill>
                <a:cs typeface="Calibri" panose="020F0502020204030204" pitchFamily="34" charset="0"/>
              </a:rPr>
              <a:t> </a:t>
            </a:r>
            <a:r>
              <a:rPr lang="nl-NL" sz="1200" b="0" i="1">
                <a:solidFill>
                  <a:sysClr val="windowText" lastClr="000000"/>
                </a:solidFill>
                <a:latin typeface="+mn-lt"/>
                <a:cs typeface="Calibri" panose="020F0502020204030204" pitchFamily="34" charset="0"/>
              </a:rPr>
              <a:t> </a:t>
            </a:r>
            <a:endParaRPr lang="nl-NL" sz="1200" b="0" i="1">
              <a:solidFill>
                <a:sysClr val="windowText" lastClr="000000"/>
              </a:solidFill>
              <a:latin typeface="+mn-lt"/>
            </a:endParaRPr>
          </a:p>
        </c:rich>
      </c:tx>
      <c:layout>
        <c:manualLayout>
          <c:xMode val="edge"/>
          <c:yMode val="edge"/>
          <c:x val="0.21474992145560187"/>
          <c:y val="1.2560387110471407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nl-NL"/>
        </a:p>
      </c:txPr>
    </c:title>
    <c:autoTitleDeleted val="0"/>
    <c:plotArea>
      <c:layout>
        <c:manualLayout>
          <c:layoutTarget val="inner"/>
          <c:xMode val="edge"/>
          <c:yMode val="edge"/>
          <c:x val="6.1699181922662105E-2"/>
          <c:y val="9.6727013667415457E-2"/>
          <c:w val="0.91190742958355109"/>
          <c:h val="0.76871909765651525"/>
        </c:manualLayout>
      </c:layout>
      <c:scatterChart>
        <c:scatterStyle val="lineMarker"/>
        <c:varyColors val="0"/>
        <c:ser>
          <c:idx val="0"/>
          <c:order val="0"/>
          <c:tx>
            <c:strRef>
              <c:f>'Ta stooklijnen'!$E$9</c:f>
              <c:strCache>
                <c:ptCount val="1"/>
                <c:pt idx="0">
                  <c:v>0.7</c:v>
                </c:pt>
              </c:strCache>
            </c:strRef>
          </c:tx>
          <c:spPr>
            <a:ln w="9525" cap="rnd">
              <a:solidFill>
                <a:schemeClr val="accent1"/>
              </a:solidFill>
              <a:round/>
            </a:ln>
            <a:effectLst/>
          </c:spPr>
          <c:marker>
            <c:symbol val="circle"/>
            <c:size val="3"/>
            <c:spPr>
              <a:solidFill>
                <a:schemeClr val="accent1"/>
              </a:solidFill>
              <a:ln w="9525">
                <a:solidFill>
                  <a:schemeClr val="accent1"/>
                </a:solidFill>
              </a:ln>
              <a:effectLst/>
            </c:spPr>
          </c:marker>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stooklijnen'!$E$10:$E$40</c:f>
              <c:numCache>
                <c:formatCode>#,#00</c:formatCode>
                <c:ptCount val="31"/>
                <c:pt idx="0">
                  <c:v>40.200000000000003</c:v>
                </c:pt>
                <c:pt idx="1">
                  <c:v>39.5</c:v>
                </c:pt>
                <c:pt idx="2">
                  <c:v>38.799999999999997</c:v>
                </c:pt>
                <c:pt idx="3">
                  <c:v>38.1</c:v>
                </c:pt>
                <c:pt idx="4">
                  <c:v>37.4</c:v>
                </c:pt>
                <c:pt idx="5">
                  <c:v>36.700000000000003</c:v>
                </c:pt>
                <c:pt idx="6">
                  <c:v>36</c:v>
                </c:pt>
                <c:pt idx="7">
                  <c:v>35.299999999999997</c:v>
                </c:pt>
                <c:pt idx="8">
                  <c:v>34.6</c:v>
                </c:pt>
                <c:pt idx="9">
                  <c:v>33.9</c:v>
                </c:pt>
                <c:pt idx="10">
                  <c:v>33.200000000000003</c:v>
                </c:pt>
                <c:pt idx="11">
                  <c:v>32.5</c:v>
                </c:pt>
                <c:pt idx="12">
                  <c:v>31.8</c:v>
                </c:pt>
                <c:pt idx="13">
                  <c:v>31.1</c:v>
                </c:pt>
                <c:pt idx="14">
                  <c:v>30.4</c:v>
                </c:pt>
                <c:pt idx="15">
                  <c:v>29.7</c:v>
                </c:pt>
                <c:pt idx="16">
                  <c:v>29</c:v>
                </c:pt>
                <c:pt idx="17">
                  <c:v>28.3</c:v>
                </c:pt>
                <c:pt idx="18">
                  <c:v>27.6</c:v>
                </c:pt>
                <c:pt idx="19">
                  <c:v>26.9</c:v>
                </c:pt>
                <c:pt idx="20">
                  <c:v>26.2</c:v>
                </c:pt>
                <c:pt idx="21">
                  <c:v>25.5</c:v>
                </c:pt>
                <c:pt idx="22">
                  <c:v>24.8</c:v>
                </c:pt>
                <c:pt idx="23">
                  <c:v>24.1</c:v>
                </c:pt>
                <c:pt idx="24">
                  <c:v>23.4</c:v>
                </c:pt>
                <c:pt idx="25">
                  <c:v>22.7</c:v>
                </c:pt>
                <c:pt idx="26">
                  <c:v>22</c:v>
                </c:pt>
                <c:pt idx="27">
                  <c:v>21.3</c:v>
                </c:pt>
                <c:pt idx="28">
                  <c:v>20.6</c:v>
                </c:pt>
                <c:pt idx="29">
                  <c:v>19.899999999999999</c:v>
                </c:pt>
                <c:pt idx="30">
                  <c:v>19.2</c:v>
                </c:pt>
              </c:numCache>
            </c:numRef>
          </c:yVal>
          <c:smooth val="0"/>
          <c:extLst>
            <c:ext xmlns:c16="http://schemas.microsoft.com/office/drawing/2014/chart" uri="{C3380CC4-5D6E-409C-BE32-E72D297353CC}">
              <c16:uniqueId val="{00000000-4D79-4B37-B927-7F7E9DB7FC60}"/>
            </c:ext>
          </c:extLst>
        </c:ser>
        <c:ser>
          <c:idx val="1"/>
          <c:order val="1"/>
          <c:tx>
            <c:strRef>
              <c:f>'Ta stooklijnen'!$F$9</c:f>
              <c:strCache>
                <c:ptCount val="1"/>
                <c:pt idx="0">
                  <c:v>0.8</c:v>
                </c:pt>
              </c:strCache>
            </c:strRef>
          </c:tx>
          <c:spPr>
            <a:ln w="9525" cap="rnd">
              <a:solidFill>
                <a:srgbClr val="FF0000"/>
              </a:solidFill>
              <a:round/>
            </a:ln>
            <a:effectLst/>
          </c:spPr>
          <c:marker>
            <c:symbol val="circle"/>
            <c:size val="3"/>
            <c:spPr>
              <a:solidFill>
                <a:srgbClr val="FF0000"/>
              </a:solidFill>
              <a:ln w="9525">
                <a:solidFill>
                  <a:schemeClr val="accent2"/>
                </a:solidFill>
              </a:ln>
              <a:effectLst/>
            </c:spPr>
          </c:marker>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stooklijnen'!$F$10:$F$40</c:f>
              <c:numCache>
                <c:formatCode>#,#00</c:formatCode>
                <c:ptCount val="31"/>
                <c:pt idx="0">
                  <c:v>43.1</c:v>
                </c:pt>
                <c:pt idx="1">
                  <c:v>42.3</c:v>
                </c:pt>
                <c:pt idx="2">
                  <c:v>41.5</c:v>
                </c:pt>
                <c:pt idx="3">
                  <c:v>40.700000000000003</c:v>
                </c:pt>
                <c:pt idx="4">
                  <c:v>39.9</c:v>
                </c:pt>
                <c:pt idx="5">
                  <c:v>39.1</c:v>
                </c:pt>
                <c:pt idx="6">
                  <c:v>38.299999999999997</c:v>
                </c:pt>
                <c:pt idx="7">
                  <c:v>37.5</c:v>
                </c:pt>
                <c:pt idx="8">
                  <c:v>36.700000000000003</c:v>
                </c:pt>
                <c:pt idx="9">
                  <c:v>35.9</c:v>
                </c:pt>
                <c:pt idx="10">
                  <c:v>35.1</c:v>
                </c:pt>
                <c:pt idx="11">
                  <c:v>34.299999999999997</c:v>
                </c:pt>
                <c:pt idx="12">
                  <c:v>33.5</c:v>
                </c:pt>
                <c:pt idx="13">
                  <c:v>32.700000000000003</c:v>
                </c:pt>
                <c:pt idx="14">
                  <c:v>31.9</c:v>
                </c:pt>
                <c:pt idx="15">
                  <c:v>31.1</c:v>
                </c:pt>
                <c:pt idx="16">
                  <c:v>30.3</c:v>
                </c:pt>
                <c:pt idx="17">
                  <c:v>29.5</c:v>
                </c:pt>
                <c:pt idx="18">
                  <c:v>28.7</c:v>
                </c:pt>
                <c:pt idx="19">
                  <c:v>27.9</c:v>
                </c:pt>
                <c:pt idx="20">
                  <c:v>27.1</c:v>
                </c:pt>
                <c:pt idx="21">
                  <c:v>26.3</c:v>
                </c:pt>
                <c:pt idx="22">
                  <c:v>25.5</c:v>
                </c:pt>
                <c:pt idx="23">
                  <c:v>24.7</c:v>
                </c:pt>
                <c:pt idx="24">
                  <c:v>23.9</c:v>
                </c:pt>
                <c:pt idx="25">
                  <c:v>23.1</c:v>
                </c:pt>
                <c:pt idx="26">
                  <c:v>22.3</c:v>
                </c:pt>
                <c:pt idx="27">
                  <c:v>21.5</c:v>
                </c:pt>
                <c:pt idx="28">
                  <c:v>20.7</c:v>
                </c:pt>
                <c:pt idx="29">
                  <c:v>19.899999999999999</c:v>
                </c:pt>
                <c:pt idx="30">
                  <c:v>19.100000000000001</c:v>
                </c:pt>
              </c:numCache>
            </c:numRef>
          </c:yVal>
          <c:smooth val="0"/>
          <c:extLst>
            <c:ext xmlns:c16="http://schemas.microsoft.com/office/drawing/2014/chart" uri="{C3380CC4-5D6E-409C-BE32-E72D297353CC}">
              <c16:uniqueId val="{00000001-4D79-4B37-B927-7F7E9DB7FC60}"/>
            </c:ext>
          </c:extLst>
        </c:ser>
        <c:ser>
          <c:idx val="2"/>
          <c:order val="2"/>
          <c:tx>
            <c:strRef>
              <c:f>'Ta stooklijnen'!$G$9</c:f>
              <c:strCache>
                <c:ptCount val="1"/>
                <c:pt idx="0">
                  <c:v>0.9</c:v>
                </c:pt>
              </c:strCache>
            </c:strRef>
          </c:tx>
          <c:spPr>
            <a:ln w="9525" cap="rnd">
              <a:solidFill>
                <a:schemeClr val="bg1">
                  <a:lumMod val="65000"/>
                </a:schemeClr>
              </a:solidFill>
              <a:round/>
            </a:ln>
            <a:effectLst/>
          </c:spPr>
          <c:marker>
            <c:symbol val="circle"/>
            <c:size val="3"/>
            <c:spPr>
              <a:solidFill>
                <a:schemeClr val="bg1">
                  <a:lumMod val="65000"/>
                </a:schemeClr>
              </a:solidFill>
              <a:ln w="9525">
                <a:solidFill>
                  <a:schemeClr val="bg1">
                    <a:lumMod val="65000"/>
                  </a:schemeClr>
                </a:solidFill>
              </a:ln>
              <a:effectLst/>
            </c:spPr>
          </c:marker>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stooklijnen'!$G$10:$G$40</c:f>
              <c:numCache>
                <c:formatCode>#,#00</c:formatCode>
                <c:ptCount val="31"/>
                <c:pt idx="0">
                  <c:v>46.1</c:v>
                </c:pt>
                <c:pt idx="1">
                  <c:v>45.2</c:v>
                </c:pt>
                <c:pt idx="2">
                  <c:v>44.3</c:v>
                </c:pt>
                <c:pt idx="3">
                  <c:v>43.4</c:v>
                </c:pt>
                <c:pt idx="4">
                  <c:v>42.5</c:v>
                </c:pt>
                <c:pt idx="5">
                  <c:v>41.6</c:v>
                </c:pt>
                <c:pt idx="6">
                  <c:v>40.700000000000003</c:v>
                </c:pt>
                <c:pt idx="7">
                  <c:v>39.799999999999997</c:v>
                </c:pt>
                <c:pt idx="8">
                  <c:v>38.9</c:v>
                </c:pt>
                <c:pt idx="9">
                  <c:v>38</c:v>
                </c:pt>
                <c:pt idx="10">
                  <c:v>37.1</c:v>
                </c:pt>
                <c:pt idx="11">
                  <c:v>36.200000000000003</c:v>
                </c:pt>
                <c:pt idx="12">
                  <c:v>35.299999999999997</c:v>
                </c:pt>
                <c:pt idx="13">
                  <c:v>34.4</c:v>
                </c:pt>
                <c:pt idx="14">
                  <c:v>33.5</c:v>
                </c:pt>
                <c:pt idx="15">
                  <c:v>32.6</c:v>
                </c:pt>
                <c:pt idx="16">
                  <c:v>31.7</c:v>
                </c:pt>
                <c:pt idx="17">
                  <c:v>30.8</c:v>
                </c:pt>
                <c:pt idx="18">
                  <c:v>29.9</c:v>
                </c:pt>
                <c:pt idx="19">
                  <c:v>29</c:v>
                </c:pt>
                <c:pt idx="20">
                  <c:v>28.1</c:v>
                </c:pt>
                <c:pt idx="21">
                  <c:v>27.2</c:v>
                </c:pt>
                <c:pt idx="22">
                  <c:v>26.3</c:v>
                </c:pt>
                <c:pt idx="23">
                  <c:v>25.4</c:v>
                </c:pt>
                <c:pt idx="24">
                  <c:v>24.5</c:v>
                </c:pt>
                <c:pt idx="25">
                  <c:v>23.6</c:v>
                </c:pt>
                <c:pt idx="26">
                  <c:v>22.7</c:v>
                </c:pt>
                <c:pt idx="27">
                  <c:v>21.8</c:v>
                </c:pt>
                <c:pt idx="28">
                  <c:v>20.9</c:v>
                </c:pt>
                <c:pt idx="29">
                  <c:v>20</c:v>
                </c:pt>
                <c:pt idx="30">
                  <c:v>19.100000000000001</c:v>
                </c:pt>
              </c:numCache>
            </c:numRef>
          </c:yVal>
          <c:smooth val="0"/>
          <c:extLst>
            <c:ext xmlns:c16="http://schemas.microsoft.com/office/drawing/2014/chart" uri="{C3380CC4-5D6E-409C-BE32-E72D297353CC}">
              <c16:uniqueId val="{00000002-4D79-4B37-B927-7F7E9DB7FC60}"/>
            </c:ext>
          </c:extLst>
        </c:ser>
        <c:ser>
          <c:idx val="3"/>
          <c:order val="3"/>
          <c:tx>
            <c:strRef>
              <c:f>'Ta stooklijnen'!$H$9</c:f>
              <c:strCache>
                <c:ptCount val="1"/>
                <c:pt idx="0">
                  <c:v>1.0</c:v>
                </c:pt>
              </c:strCache>
            </c:strRef>
          </c:tx>
          <c:spPr>
            <a:ln w="9525" cap="rnd">
              <a:solidFill>
                <a:schemeClr val="accent2"/>
              </a:solidFill>
              <a:round/>
            </a:ln>
            <a:effectLst/>
          </c:spPr>
          <c:marker>
            <c:symbol val="circle"/>
            <c:size val="3"/>
            <c:spPr>
              <a:solidFill>
                <a:schemeClr val="accent2"/>
              </a:solidFill>
              <a:ln w="9525">
                <a:noFill/>
              </a:ln>
              <a:effectLst/>
            </c:spPr>
          </c:marker>
          <c:dPt>
            <c:idx val="0"/>
            <c:marker>
              <c:symbol val="circle"/>
              <c:size val="3"/>
              <c:spPr>
                <a:solidFill>
                  <a:schemeClr val="accent2"/>
                </a:solidFill>
                <a:ln w="9525">
                  <a:noFill/>
                </a:ln>
                <a:effectLst/>
              </c:spPr>
            </c:marker>
            <c:bubble3D val="0"/>
            <c:extLst>
              <c:ext xmlns:c16="http://schemas.microsoft.com/office/drawing/2014/chart" uri="{C3380CC4-5D6E-409C-BE32-E72D297353CC}">
                <c16:uniqueId val="{00000003-4D79-4B37-B927-7F7E9DB7FC60}"/>
              </c:ext>
            </c:extLst>
          </c:dPt>
          <c:dPt>
            <c:idx val="1"/>
            <c:marker>
              <c:symbol val="circle"/>
              <c:size val="3"/>
              <c:spPr>
                <a:solidFill>
                  <a:schemeClr val="accent2"/>
                </a:solidFill>
                <a:ln w="9525">
                  <a:noFill/>
                </a:ln>
                <a:effectLst/>
              </c:spPr>
            </c:marker>
            <c:bubble3D val="0"/>
            <c:spPr>
              <a:ln w="9525" cap="rnd">
                <a:solidFill>
                  <a:schemeClr val="accent2"/>
                </a:solidFill>
                <a:round/>
              </a:ln>
              <a:effectLst/>
            </c:spPr>
            <c:extLst>
              <c:ext xmlns:c16="http://schemas.microsoft.com/office/drawing/2014/chart" uri="{C3380CC4-5D6E-409C-BE32-E72D297353CC}">
                <c16:uniqueId val="{00000005-4D79-4B37-B927-7F7E9DB7FC60}"/>
              </c:ext>
            </c:extLst>
          </c:dPt>
          <c:dPt>
            <c:idx val="2"/>
            <c:marker>
              <c:symbol val="circle"/>
              <c:size val="3"/>
              <c:spPr>
                <a:solidFill>
                  <a:schemeClr val="accent2"/>
                </a:solidFill>
                <a:ln w="9525">
                  <a:noFill/>
                </a:ln>
                <a:effectLst/>
              </c:spPr>
            </c:marker>
            <c:bubble3D val="0"/>
            <c:spPr>
              <a:ln w="9525" cap="rnd">
                <a:solidFill>
                  <a:schemeClr val="accent2"/>
                </a:solidFill>
                <a:round/>
              </a:ln>
              <a:effectLst/>
            </c:spPr>
            <c:extLst>
              <c:ext xmlns:c16="http://schemas.microsoft.com/office/drawing/2014/chart" uri="{C3380CC4-5D6E-409C-BE32-E72D297353CC}">
                <c16:uniqueId val="{00000007-4D79-4B37-B927-7F7E9DB7FC60}"/>
              </c:ext>
            </c:extLst>
          </c:dPt>
          <c:dPt>
            <c:idx val="3"/>
            <c:marker>
              <c:symbol val="circle"/>
              <c:size val="3"/>
              <c:spPr>
                <a:solidFill>
                  <a:schemeClr val="accent2"/>
                </a:solidFill>
                <a:ln w="9525">
                  <a:noFill/>
                </a:ln>
                <a:effectLst/>
              </c:spPr>
            </c:marker>
            <c:bubble3D val="0"/>
            <c:spPr>
              <a:ln w="9525" cap="rnd">
                <a:solidFill>
                  <a:schemeClr val="accent2"/>
                </a:solidFill>
                <a:round/>
              </a:ln>
              <a:effectLst/>
            </c:spPr>
            <c:extLst>
              <c:ext xmlns:c16="http://schemas.microsoft.com/office/drawing/2014/chart" uri="{C3380CC4-5D6E-409C-BE32-E72D297353CC}">
                <c16:uniqueId val="{00000009-4D79-4B37-B927-7F7E9DB7FC60}"/>
              </c:ext>
            </c:extLst>
          </c:dPt>
          <c:dPt>
            <c:idx val="4"/>
            <c:marker>
              <c:symbol val="circle"/>
              <c:size val="3"/>
              <c:spPr>
                <a:solidFill>
                  <a:schemeClr val="accent2"/>
                </a:solidFill>
                <a:ln w="9525">
                  <a:noFill/>
                </a:ln>
                <a:effectLst/>
              </c:spPr>
            </c:marker>
            <c:bubble3D val="0"/>
            <c:spPr>
              <a:ln w="9525" cap="rnd">
                <a:solidFill>
                  <a:schemeClr val="accent2"/>
                </a:solidFill>
                <a:round/>
              </a:ln>
              <a:effectLst/>
            </c:spPr>
            <c:extLst>
              <c:ext xmlns:c16="http://schemas.microsoft.com/office/drawing/2014/chart" uri="{C3380CC4-5D6E-409C-BE32-E72D297353CC}">
                <c16:uniqueId val="{0000000B-4D79-4B37-B927-7F7E9DB7FC60}"/>
              </c:ext>
            </c:extLst>
          </c:dPt>
          <c:dPt>
            <c:idx val="5"/>
            <c:marker>
              <c:symbol val="circle"/>
              <c:size val="3"/>
              <c:spPr>
                <a:solidFill>
                  <a:schemeClr val="accent2"/>
                </a:solidFill>
                <a:ln w="9525">
                  <a:noFill/>
                </a:ln>
                <a:effectLst/>
              </c:spPr>
            </c:marker>
            <c:bubble3D val="0"/>
            <c:spPr>
              <a:ln w="9525" cap="rnd">
                <a:solidFill>
                  <a:schemeClr val="accent2"/>
                </a:solidFill>
                <a:round/>
              </a:ln>
              <a:effectLst/>
            </c:spPr>
            <c:extLst>
              <c:ext xmlns:c16="http://schemas.microsoft.com/office/drawing/2014/chart" uri="{C3380CC4-5D6E-409C-BE32-E72D297353CC}">
                <c16:uniqueId val="{0000000D-4D79-4B37-B927-7F7E9DB7FC60}"/>
              </c:ext>
            </c:extLst>
          </c:dPt>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stooklijnen'!$H$10:$H$40</c:f>
              <c:numCache>
                <c:formatCode>#,#00</c:formatCode>
                <c:ptCount val="31"/>
                <c:pt idx="0">
                  <c:v>49</c:v>
                </c:pt>
                <c:pt idx="1">
                  <c:v>48</c:v>
                </c:pt>
                <c:pt idx="2">
                  <c:v>47</c:v>
                </c:pt>
                <c:pt idx="3">
                  <c:v>46</c:v>
                </c:pt>
                <c:pt idx="4">
                  <c:v>45</c:v>
                </c:pt>
                <c:pt idx="5">
                  <c:v>44</c:v>
                </c:pt>
                <c:pt idx="6">
                  <c:v>43</c:v>
                </c:pt>
                <c:pt idx="7">
                  <c:v>42</c:v>
                </c:pt>
                <c:pt idx="8">
                  <c:v>41</c:v>
                </c:pt>
                <c:pt idx="9">
                  <c:v>40</c:v>
                </c:pt>
                <c:pt idx="10">
                  <c:v>39</c:v>
                </c:pt>
                <c:pt idx="11">
                  <c:v>38</c:v>
                </c:pt>
                <c:pt idx="12">
                  <c:v>37</c:v>
                </c:pt>
                <c:pt idx="13">
                  <c:v>36</c:v>
                </c:pt>
                <c:pt idx="14">
                  <c:v>35</c:v>
                </c:pt>
                <c:pt idx="15">
                  <c:v>34</c:v>
                </c:pt>
                <c:pt idx="16">
                  <c:v>33</c:v>
                </c:pt>
                <c:pt idx="17">
                  <c:v>32</c:v>
                </c:pt>
                <c:pt idx="18">
                  <c:v>31</c:v>
                </c:pt>
                <c:pt idx="19">
                  <c:v>30</c:v>
                </c:pt>
                <c:pt idx="20">
                  <c:v>29</c:v>
                </c:pt>
                <c:pt idx="21">
                  <c:v>28</c:v>
                </c:pt>
                <c:pt idx="22">
                  <c:v>27</c:v>
                </c:pt>
                <c:pt idx="23">
                  <c:v>26</c:v>
                </c:pt>
                <c:pt idx="24">
                  <c:v>25</c:v>
                </c:pt>
                <c:pt idx="25">
                  <c:v>24</c:v>
                </c:pt>
                <c:pt idx="26">
                  <c:v>23</c:v>
                </c:pt>
                <c:pt idx="27">
                  <c:v>22</c:v>
                </c:pt>
                <c:pt idx="28">
                  <c:v>21</c:v>
                </c:pt>
                <c:pt idx="29">
                  <c:v>20</c:v>
                </c:pt>
                <c:pt idx="30">
                  <c:v>19</c:v>
                </c:pt>
              </c:numCache>
            </c:numRef>
          </c:yVal>
          <c:smooth val="0"/>
          <c:extLst>
            <c:ext xmlns:c16="http://schemas.microsoft.com/office/drawing/2014/chart" uri="{C3380CC4-5D6E-409C-BE32-E72D297353CC}">
              <c16:uniqueId val="{0000000E-4D79-4B37-B927-7F7E9DB7FC60}"/>
            </c:ext>
          </c:extLst>
        </c:ser>
        <c:ser>
          <c:idx val="4"/>
          <c:order val="4"/>
          <c:tx>
            <c:strRef>
              <c:f>'Ta stooklijnen'!$I$9</c:f>
              <c:strCache>
                <c:ptCount val="1"/>
                <c:pt idx="0">
                  <c:v>1.1</c:v>
                </c:pt>
              </c:strCache>
            </c:strRef>
          </c:tx>
          <c:spPr>
            <a:ln w="9525" cap="rnd">
              <a:solidFill>
                <a:schemeClr val="accent6"/>
              </a:solidFill>
              <a:round/>
            </a:ln>
            <a:effectLst/>
          </c:spPr>
          <c:marker>
            <c:symbol val="circle"/>
            <c:size val="3"/>
            <c:spPr>
              <a:solidFill>
                <a:schemeClr val="accent6"/>
              </a:solidFill>
              <a:ln w="9525">
                <a:noFill/>
              </a:ln>
              <a:effectLst/>
            </c:spPr>
          </c:marker>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stooklijnen'!$I$10:$I$40</c:f>
              <c:numCache>
                <c:formatCode>#,#00</c:formatCode>
                <c:ptCount val="31"/>
                <c:pt idx="0">
                  <c:v>52</c:v>
                </c:pt>
                <c:pt idx="1">
                  <c:v>50.9</c:v>
                </c:pt>
                <c:pt idx="2">
                  <c:v>49.8</c:v>
                </c:pt>
                <c:pt idx="3">
                  <c:v>48.7</c:v>
                </c:pt>
                <c:pt idx="4">
                  <c:v>47.6</c:v>
                </c:pt>
                <c:pt idx="5">
                  <c:v>46.5</c:v>
                </c:pt>
                <c:pt idx="6">
                  <c:v>45.4</c:v>
                </c:pt>
                <c:pt idx="7">
                  <c:v>44.3</c:v>
                </c:pt>
                <c:pt idx="8">
                  <c:v>43.2</c:v>
                </c:pt>
                <c:pt idx="9">
                  <c:v>42.1</c:v>
                </c:pt>
                <c:pt idx="10">
                  <c:v>41</c:v>
                </c:pt>
                <c:pt idx="11">
                  <c:v>39.9</c:v>
                </c:pt>
                <c:pt idx="12">
                  <c:v>38.799999999999997</c:v>
                </c:pt>
                <c:pt idx="13">
                  <c:v>37.700000000000003</c:v>
                </c:pt>
                <c:pt idx="14">
                  <c:v>36.6</c:v>
                </c:pt>
                <c:pt idx="15">
                  <c:v>35.5</c:v>
                </c:pt>
                <c:pt idx="16">
                  <c:v>34.4</c:v>
                </c:pt>
                <c:pt idx="17">
                  <c:v>33.299999999999997</c:v>
                </c:pt>
                <c:pt idx="18">
                  <c:v>32.200000000000003</c:v>
                </c:pt>
                <c:pt idx="19">
                  <c:v>31.1</c:v>
                </c:pt>
                <c:pt idx="20">
                  <c:v>30</c:v>
                </c:pt>
                <c:pt idx="21">
                  <c:v>28.9</c:v>
                </c:pt>
                <c:pt idx="22">
                  <c:v>27.8</c:v>
                </c:pt>
                <c:pt idx="23">
                  <c:v>26.7</c:v>
                </c:pt>
                <c:pt idx="24">
                  <c:v>25.6</c:v>
                </c:pt>
                <c:pt idx="25">
                  <c:v>24.5</c:v>
                </c:pt>
                <c:pt idx="26">
                  <c:v>23.4</c:v>
                </c:pt>
                <c:pt idx="27">
                  <c:v>22.3</c:v>
                </c:pt>
                <c:pt idx="28">
                  <c:v>21.2</c:v>
                </c:pt>
                <c:pt idx="29">
                  <c:v>20.100000000000001</c:v>
                </c:pt>
                <c:pt idx="30">
                  <c:v>19</c:v>
                </c:pt>
              </c:numCache>
            </c:numRef>
          </c:yVal>
          <c:smooth val="0"/>
          <c:extLst>
            <c:ext xmlns:c16="http://schemas.microsoft.com/office/drawing/2014/chart" uri="{C3380CC4-5D6E-409C-BE32-E72D297353CC}">
              <c16:uniqueId val="{0000000F-4D79-4B37-B927-7F7E9DB7FC60}"/>
            </c:ext>
          </c:extLst>
        </c:ser>
        <c:ser>
          <c:idx val="5"/>
          <c:order val="5"/>
          <c:tx>
            <c:strRef>
              <c:f>'Ta stooklijnen'!$J$9</c:f>
              <c:strCache>
                <c:ptCount val="1"/>
                <c:pt idx="0">
                  <c:v>1.2</c:v>
                </c:pt>
              </c:strCache>
            </c:strRef>
          </c:tx>
          <c:spPr>
            <a:ln w="9525" cap="rnd">
              <a:solidFill>
                <a:srgbClr val="FFC000"/>
              </a:solidFill>
              <a:round/>
            </a:ln>
            <a:effectLst/>
          </c:spPr>
          <c:marker>
            <c:symbol val="circle"/>
            <c:size val="3"/>
            <c:spPr>
              <a:solidFill>
                <a:srgbClr val="FFC000"/>
              </a:solidFill>
              <a:ln w="9525">
                <a:noFill/>
              </a:ln>
              <a:effectLst/>
            </c:spPr>
          </c:marker>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stooklijnen'!$J$10:$J$40</c:f>
              <c:numCache>
                <c:formatCode>#,#00</c:formatCode>
                <c:ptCount val="31"/>
                <c:pt idx="0">
                  <c:v>54.9</c:v>
                </c:pt>
                <c:pt idx="1">
                  <c:v>53.7</c:v>
                </c:pt>
                <c:pt idx="2">
                  <c:v>52.5</c:v>
                </c:pt>
                <c:pt idx="3">
                  <c:v>51.3</c:v>
                </c:pt>
                <c:pt idx="4">
                  <c:v>50.1</c:v>
                </c:pt>
                <c:pt idx="5">
                  <c:v>48.9</c:v>
                </c:pt>
                <c:pt idx="6">
                  <c:v>47.7</c:v>
                </c:pt>
                <c:pt idx="7">
                  <c:v>46.5</c:v>
                </c:pt>
                <c:pt idx="8">
                  <c:v>45.3</c:v>
                </c:pt>
                <c:pt idx="9">
                  <c:v>44.1</c:v>
                </c:pt>
                <c:pt idx="10">
                  <c:v>42.9</c:v>
                </c:pt>
                <c:pt idx="11">
                  <c:v>41.7</c:v>
                </c:pt>
                <c:pt idx="12">
                  <c:v>40.5</c:v>
                </c:pt>
                <c:pt idx="13">
                  <c:v>39.299999999999997</c:v>
                </c:pt>
                <c:pt idx="14">
                  <c:v>38.1</c:v>
                </c:pt>
                <c:pt idx="15">
                  <c:v>36.9</c:v>
                </c:pt>
                <c:pt idx="16">
                  <c:v>35.700000000000003</c:v>
                </c:pt>
                <c:pt idx="17">
                  <c:v>34.5</c:v>
                </c:pt>
                <c:pt idx="18">
                  <c:v>33.299999999999997</c:v>
                </c:pt>
                <c:pt idx="19">
                  <c:v>32.1</c:v>
                </c:pt>
                <c:pt idx="20">
                  <c:v>30.9</c:v>
                </c:pt>
                <c:pt idx="21">
                  <c:v>29.7</c:v>
                </c:pt>
                <c:pt idx="22">
                  <c:v>28.5</c:v>
                </c:pt>
                <c:pt idx="23">
                  <c:v>27.3</c:v>
                </c:pt>
                <c:pt idx="24">
                  <c:v>26.1</c:v>
                </c:pt>
                <c:pt idx="25">
                  <c:v>24.9</c:v>
                </c:pt>
                <c:pt idx="26">
                  <c:v>23.7</c:v>
                </c:pt>
                <c:pt idx="27">
                  <c:v>22.5</c:v>
                </c:pt>
                <c:pt idx="28">
                  <c:v>21.3</c:v>
                </c:pt>
                <c:pt idx="29">
                  <c:v>20.100000000000001</c:v>
                </c:pt>
                <c:pt idx="30">
                  <c:v>18.899999999999999</c:v>
                </c:pt>
              </c:numCache>
            </c:numRef>
          </c:yVal>
          <c:smooth val="0"/>
          <c:extLst>
            <c:ext xmlns:c16="http://schemas.microsoft.com/office/drawing/2014/chart" uri="{C3380CC4-5D6E-409C-BE32-E72D297353CC}">
              <c16:uniqueId val="{00000010-4D79-4B37-B927-7F7E9DB7FC60}"/>
            </c:ext>
          </c:extLst>
        </c:ser>
        <c:ser>
          <c:idx val="6"/>
          <c:order val="6"/>
          <c:tx>
            <c:strRef>
              <c:f>'Ta stooklijnen'!$K$9</c:f>
              <c:strCache>
                <c:ptCount val="1"/>
                <c:pt idx="0">
                  <c:v>1.3</c:v>
                </c:pt>
              </c:strCache>
            </c:strRef>
          </c:tx>
          <c:spPr>
            <a:ln w="9525" cap="rnd">
              <a:solidFill>
                <a:schemeClr val="accent1">
                  <a:lumMod val="60000"/>
                </a:schemeClr>
              </a:solidFill>
              <a:round/>
            </a:ln>
            <a:effectLst/>
          </c:spPr>
          <c:marker>
            <c:symbol val="circle"/>
            <c:size val="3"/>
            <c:spPr>
              <a:solidFill>
                <a:schemeClr val="accent1">
                  <a:lumMod val="60000"/>
                </a:schemeClr>
              </a:solidFill>
              <a:ln w="9525">
                <a:solidFill>
                  <a:schemeClr val="accent1">
                    <a:lumMod val="60000"/>
                  </a:schemeClr>
                </a:solidFill>
              </a:ln>
              <a:effectLst/>
            </c:spPr>
          </c:marker>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stooklijnen'!$K$10:$K$40</c:f>
              <c:numCache>
                <c:formatCode>#,#00</c:formatCode>
                <c:ptCount val="31"/>
                <c:pt idx="0">
                  <c:v>57.9</c:v>
                </c:pt>
                <c:pt idx="1">
                  <c:v>56.6</c:v>
                </c:pt>
                <c:pt idx="2">
                  <c:v>55.3</c:v>
                </c:pt>
                <c:pt idx="3">
                  <c:v>54</c:v>
                </c:pt>
                <c:pt idx="4">
                  <c:v>52.7</c:v>
                </c:pt>
                <c:pt idx="5">
                  <c:v>51.4</c:v>
                </c:pt>
                <c:pt idx="6">
                  <c:v>50.1</c:v>
                </c:pt>
                <c:pt idx="7">
                  <c:v>48.8</c:v>
                </c:pt>
                <c:pt idx="8">
                  <c:v>47.5</c:v>
                </c:pt>
                <c:pt idx="9">
                  <c:v>46.2</c:v>
                </c:pt>
                <c:pt idx="10">
                  <c:v>44.9</c:v>
                </c:pt>
                <c:pt idx="11">
                  <c:v>43.6</c:v>
                </c:pt>
                <c:pt idx="12">
                  <c:v>42.3</c:v>
                </c:pt>
                <c:pt idx="13">
                  <c:v>41</c:v>
                </c:pt>
                <c:pt idx="14">
                  <c:v>39.700000000000003</c:v>
                </c:pt>
                <c:pt idx="15">
                  <c:v>38.4</c:v>
                </c:pt>
                <c:pt idx="16">
                  <c:v>37.1</c:v>
                </c:pt>
                <c:pt idx="17">
                  <c:v>35.799999999999997</c:v>
                </c:pt>
                <c:pt idx="18">
                  <c:v>34.5</c:v>
                </c:pt>
                <c:pt idx="19">
                  <c:v>33.200000000000003</c:v>
                </c:pt>
                <c:pt idx="20">
                  <c:v>31.9</c:v>
                </c:pt>
                <c:pt idx="21">
                  <c:v>30.6</c:v>
                </c:pt>
                <c:pt idx="22">
                  <c:v>29.3</c:v>
                </c:pt>
                <c:pt idx="23">
                  <c:v>28</c:v>
                </c:pt>
                <c:pt idx="24">
                  <c:v>26.7</c:v>
                </c:pt>
                <c:pt idx="25">
                  <c:v>25.4</c:v>
                </c:pt>
                <c:pt idx="26">
                  <c:v>24.1</c:v>
                </c:pt>
                <c:pt idx="27">
                  <c:v>22.8</c:v>
                </c:pt>
                <c:pt idx="28">
                  <c:v>21.5</c:v>
                </c:pt>
                <c:pt idx="29">
                  <c:v>20.2</c:v>
                </c:pt>
                <c:pt idx="30">
                  <c:v>18.899999999999999</c:v>
                </c:pt>
              </c:numCache>
            </c:numRef>
          </c:yVal>
          <c:smooth val="0"/>
          <c:extLst>
            <c:ext xmlns:c16="http://schemas.microsoft.com/office/drawing/2014/chart" uri="{C3380CC4-5D6E-409C-BE32-E72D297353CC}">
              <c16:uniqueId val="{00000011-4D79-4B37-B927-7F7E9DB7FC60}"/>
            </c:ext>
          </c:extLst>
        </c:ser>
        <c:ser>
          <c:idx val="7"/>
          <c:order val="7"/>
          <c:tx>
            <c:strRef>
              <c:f>'Ta stooklijnen'!$L$9</c:f>
              <c:strCache>
                <c:ptCount val="1"/>
                <c:pt idx="0">
                  <c:v>1.4</c:v>
                </c:pt>
              </c:strCache>
            </c:strRef>
          </c:tx>
          <c:spPr>
            <a:ln w="9525" cap="rnd">
              <a:solidFill>
                <a:schemeClr val="accent2">
                  <a:lumMod val="60000"/>
                </a:schemeClr>
              </a:solidFill>
              <a:round/>
            </a:ln>
            <a:effectLst/>
          </c:spPr>
          <c:marker>
            <c:symbol val="circle"/>
            <c:size val="3"/>
            <c:spPr>
              <a:solidFill>
                <a:schemeClr val="accent2">
                  <a:lumMod val="60000"/>
                </a:schemeClr>
              </a:solidFill>
              <a:ln w="9525">
                <a:solidFill>
                  <a:schemeClr val="accent2">
                    <a:lumMod val="60000"/>
                  </a:schemeClr>
                </a:solidFill>
              </a:ln>
              <a:effectLst/>
            </c:spPr>
          </c:marker>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stooklijnen'!$L$10:$L$40</c:f>
              <c:numCache>
                <c:formatCode>#,#00</c:formatCode>
                <c:ptCount val="31"/>
                <c:pt idx="0">
                  <c:v>60.8</c:v>
                </c:pt>
                <c:pt idx="1">
                  <c:v>59.4</c:v>
                </c:pt>
                <c:pt idx="2">
                  <c:v>58</c:v>
                </c:pt>
                <c:pt idx="3">
                  <c:v>56.6</c:v>
                </c:pt>
                <c:pt idx="4">
                  <c:v>55.2</c:v>
                </c:pt>
                <c:pt idx="5">
                  <c:v>53.8</c:v>
                </c:pt>
                <c:pt idx="6">
                  <c:v>52.4</c:v>
                </c:pt>
                <c:pt idx="7">
                  <c:v>51</c:v>
                </c:pt>
                <c:pt idx="8">
                  <c:v>49.6</c:v>
                </c:pt>
                <c:pt idx="9">
                  <c:v>48.2</c:v>
                </c:pt>
                <c:pt idx="10">
                  <c:v>46.8</c:v>
                </c:pt>
                <c:pt idx="11">
                  <c:v>45.4</c:v>
                </c:pt>
                <c:pt idx="12">
                  <c:v>44</c:v>
                </c:pt>
                <c:pt idx="13">
                  <c:v>42.6</c:v>
                </c:pt>
                <c:pt idx="14">
                  <c:v>41.2</c:v>
                </c:pt>
                <c:pt idx="15">
                  <c:v>39.799999999999997</c:v>
                </c:pt>
                <c:pt idx="16">
                  <c:v>38.4</c:v>
                </c:pt>
                <c:pt idx="17">
                  <c:v>37</c:v>
                </c:pt>
                <c:pt idx="18">
                  <c:v>35.6</c:v>
                </c:pt>
                <c:pt idx="19">
                  <c:v>34.200000000000003</c:v>
                </c:pt>
                <c:pt idx="20">
                  <c:v>32.799999999999997</c:v>
                </c:pt>
                <c:pt idx="21">
                  <c:v>31.4</c:v>
                </c:pt>
                <c:pt idx="22">
                  <c:v>30</c:v>
                </c:pt>
                <c:pt idx="23">
                  <c:v>28.6</c:v>
                </c:pt>
                <c:pt idx="24">
                  <c:v>27.2</c:v>
                </c:pt>
                <c:pt idx="25">
                  <c:v>25.8</c:v>
                </c:pt>
                <c:pt idx="26">
                  <c:v>24.4</c:v>
                </c:pt>
                <c:pt idx="27">
                  <c:v>23</c:v>
                </c:pt>
                <c:pt idx="28">
                  <c:v>21.6</c:v>
                </c:pt>
                <c:pt idx="29">
                  <c:v>20.2</c:v>
                </c:pt>
                <c:pt idx="30">
                  <c:v>18.8</c:v>
                </c:pt>
              </c:numCache>
            </c:numRef>
          </c:yVal>
          <c:smooth val="0"/>
          <c:extLst>
            <c:ext xmlns:c16="http://schemas.microsoft.com/office/drawing/2014/chart" uri="{C3380CC4-5D6E-409C-BE32-E72D297353CC}">
              <c16:uniqueId val="{00000012-4D79-4B37-B927-7F7E9DB7FC60}"/>
            </c:ext>
          </c:extLst>
        </c:ser>
        <c:ser>
          <c:idx val="8"/>
          <c:order val="8"/>
          <c:tx>
            <c:strRef>
              <c:f>'Ta stooklijnen'!$M$9</c:f>
              <c:strCache>
                <c:ptCount val="1"/>
                <c:pt idx="0">
                  <c:v>1.5</c:v>
                </c:pt>
              </c:strCache>
            </c:strRef>
          </c:tx>
          <c:spPr>
            <a:ln w="9525" cap="rnd">
              <a:solidFill>
                <a:schemeClr val="accent3">
                  <a:lumMod val="60000"/>
                </a:schemeClr>
              </a:solidFill>
              <a:round/>
            </a:ln>
            <a:effectLst/>
          </c:spPr>
          <c:marker>
            <c:symbol val="circle"/>
            <c:size val="3"/>
            <c:spPr>
              <a:solidFill>
                <a:schemeClr val="accent3">
                  <a:lumMod val="60000"/>
                </a:schemeClr>
              </a:solidFill>
              <a:ln w="9525">
                <a:solidFill>
                  <a:schemeClr val="accent3">
                    <a:lumMod val="60000"/>
                  </a:schemeClr>
                </a:solidFill>
              </a:ln>
              <a:effectLst/>
            </c:spPr>
          </c:marker>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stooklijnen'!$M$10:$M$40</c:f>
              <c:numCache>
                <c:formatCode>#,#00</c:formatCode>
                <c:ptCount val="31"/>
                <c:pt idx="0">
                  <c:v>63.8</c:v>
                </c:pt>
                <c:pt idx="1">
                  <c:v>62.3</c:v>
                </c:pt>
                <c:pt idx="2">
                  <c:v>60.8</c:v>
                </c:pt>
                <c:pt idx="3">
                  <c:v>59.3</c:v>
                </c:pt>
                <c:pt idx="4">
                  <c:v>57.8</c:v>
                </c:pt>
                <c:pt idx="5">
                  <c:v>56.3</c:v>
                </c:pt>
                <c:pt idx="6">
                  <c:v>54.8</c:v>
                </c:pt>
                <c:pt idx="7">
                  <c:v>53.3</c:v>
                </c:pt>
                <c:pt idx="8">
                  <c:v>51.8</c:v>
                </c:pt>
                <c:pt idx="9">
                  <c:v>50.3</c:v>
                </c:pt>
                <c:pt idx="10">
                  <c:v>48.8</c:v>
                </c:pt>
                <c:pt idx="11">
                  <c:v>47.3</c:v>
                </c:pt>
                <c:pt idx="12">
                  <c:v>45.8</c:v>
                </c:pt>
                <c:pt idx="13">
                  <c:v>44.3</c:v>
                </c:pt>
                <c:pt idx="14">
                  <c:v>42.8</c:v>
                </c:pt>
                <c:pt idx="15">
                  <c:v>41.3</c:v>
                </c:pt>
                <c:pt idx="16">
                  <c:v>39.799999999999997</c:v>
                </c:pt>
                <c:pt idx="17">
                  <c:v>38.299999999999997</c:v>
                </c:pt>
                <c:pt idx="18">
                  <c:v>36.799999999999997</c:v>
                </c:pt>
                <c:pt idx="19">
                  <c:v>35.299999999999997</c:v>
                </c:pt>
                <c:pt idx="20">
                  <c:v>33.799999999999997</c:v>
                </c:pt>
                <c:pt idx="21">
                  <c:v>32.299999999999997</c:v>
                </c:pt>
                <c:pt idx="22">
                  <c:v>30.8</c:v>
                </c:pt>
                <c:pt idx="23">
                  <c:v>29.3</c:v>
                </c:pt>
                <c:pt idx="24">
                  <c:v>27.8</c:v>
                </c:pt>
                <c:pt idx="25">
                  <c:v>26.3</c:v>
                </c:pt>
                <c:pt idx="26">
                  <c:v>24.8</c:v>
                </c:pt>
                <c:pt idx="27">
                  <c:v>23.3</c:v>
                </c:pt>
                <c:pt idx="28">
                  <c:v>21.8</c:v>
                </c:pt>
                <c:pt idx="29">
                  <c:v>20.3</c:v>
                </c:pt>
                <c:pt idx="30">
                  <c:v>18.8</c:v>
                </c:pt>
              </c:numCache>
            </c:numRef>
          </c:yVal>
          <c:smooth val="0"/>
          <c:extLst>
            <c:ext xmlns:c16="http://schemas.microsoft.com/office/drawing/2014/chart" uri="{C3380CC4-5D6E-409C-BE32-E72D297353CC}">
              <c16:uniqueId val="{00000013-4D79-4B37-B927-7F7E9DB7FC60}"/>
            </c:ext>
          </c:extLst>
        </c:ser>
        <c:ser>
          <c:idx val="9"/>
          <c:order val="9"/>
          <c:tx>
            <c:strRef>
              <c:f>'Ta stooklijnen'!$N$9</c:f>
              <c:strCache>
                <c:ptCount val="1"/>
                <c:pt idx="0">
                  <c:v>1.6</c:v>
                </c:pt>
              </c:strCache>
            </c:strRef>
          </c:tx>
          <c:spPr>
            <a:ln w="9525" cap="rnd">
              <a:solidFill>
                <a:schemeClr val="accent4">
                  <a:lumMod val="60000"/>
                </a:schemeClr>
              </a:solidFill>
              <a:round/>
            </a:ln>
            <a:effectLst/>
          </c:spPr>
          <c:marker>
            <c:symbol val="circle"/>
            <c:size val="3"/>
            <c:spPr>
              <a:solidFill>
                <a:schemeClr val="accent4">
                  <a:lumMod val="60000"/>
                </a:schemeClr>
              </a:solidFill>
              <a:ln w="9525">
                <a:solidFill>
                  <a:schemeClr val="accent4">
                    <a:lumMod val="60000"/>
                  </a:schemeClr>
                </a:solidFill>
              </a:ln>
              <a:effectLst/>
            </c:spPr>
          </c:marker>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stooklijnen'!$N$10:$N$40</c:f>
              <c:numCache>
                <c:formatCode>#,#00</c:formatCode>
                <c:ptCount val="31"/>
                <c:pt idx="0">
                  <c:v>66.7</c:v>
                </c:pt>
                <c:pt idx="1">
                  <c:v>65.099999999999994</c:v>
                </c:pt>
                <c:pt idx="2">
                  <c:v>63.5</c:v>
                </c:pt>
                <c:pt idx="3">
                  <c:v>61.9</c:v>
                </c:pt>
                <c:pt idx="4">
                  <c:v>60.3</c:v>
                </c:pt>
                <c:pt idx="5">
                  <c:v>58.7</c:v>
                </c:pt>
                <c:pt idx="6">
                  <c:v>57.1</c:v>
                </c:pt>
                <c:pt idx="7">
                  <c:v>55.5</c:v>
                </c:pt>
                <c:pt idx="8">
                  <c:v>53.9</c:v>
                </c:pt>
                <c:pt idx="9">
                  <c:v>52.3</c:v>
                </c:pt>
                <c:pt idx="10">
                  <c:v>50.7</c:v>
                </c:pt>
                <c:pt idx="11">
                  <c:v>49.1</c:v>
                </c:pt>
                <c:pt idx="12">
                  <c:v>47.5</c:v>
                </c:pt>
                <c:pt idx="13">
                  <c:v>45.9</c:v>
                </c:pt>
                <c:pt idx="14">
                  <c:v>44.3</c:v>
                </c:pt>
                <c:pt idx="15">
                  <c:v>42.7</c:v>
                </c:pt>
                <c:pt idx="16">
                  <c:v>41.1</c:v>
                </c:pt>
                <c:pt idx="17">
                  <c:v>39.5</c:v>
                </c:pt>
                <c:pt idx="18">
                  <c:v>37.9</c:v>
                </c:pt>
                <c:pt idx="19">
                  <c:v>36.299999999999997</c:v>
                </c:pt>
                <c:pt idx="20">
                  <c:v>34.700000000000003</c:v>
                </c:pt>
                <c:pt idx="21">
                  <c:v>33.1</c:v>
                </c:pt>
                <c:pt idx="22">
                  <c:v>31.5</c:v>
                </c:pt>
                <c:pt idx="23">
                  <c:v>29.9</c:v>
                </c:pt>
                <c:pt idx="24">
                  <c:v>28.3</c:v>
                </c:pt>
                <c:pt idx="25">
                  <c:v>26.7</c:v>
                </c:pt>
                <c:pt idx="26">
                  <c:v>25.1</c:v>
                </c:pt>
                <c:pt idx="27">
                  <c:v>23.5</c:v>
                </c:pt>
                <c:pt idx="28">
                  <c:v>21.9</c:v>
                </c:pt>
                <c:pt idx="29">
                  <c:v>20.3</c:v>
                </c:pt>
                <c:pt idx="30">
                  <c:v>18.7</c:v>
                </c:pt>
              </c:numCache>
            </c:numRef>
          </c:yVal>
          <c:smooth val="0"/>
          <c:extLst>
            <c:ext xmlns:c16="http://schemas.microsoft.com/office/drawing/2014/chart" uri="{C3380CC4-5D6E-409C-BE32-E72D297353CC}">
              <c16:uniqueId val="{00000014-4D79-4B37-B927-7F7E9DB7FC60}"/>
            </c:ext>
          </c:extLst>
        </c:ser>
        <c:ser>
          <c:idx val="10"/>
          <c:order val="10"/>
          <c:tx>
            <c:strRef>
              <c:f>'Ta stooklijnen'!$O$9</c:f>
              <c:strCache>
                <c:ptCount val="1"/>
                <c:pt idx="0">
                  <c:v>1.7</c:v>
                </c:pt>
              </c:strCache>
            </c:strRef>
          </c:tx>
          <c:spPr>
            <a:ln w="9525" cap="rnd">
              <a:solidFill>
                <a:schemeClr val="accent5">
                  <a:lumMod val="60000"/>
                </a:schemeClr>
              </a:solidFill>
              <a:round/>
            </a:ln>
            <a:effectLst/>
          </c:spPr>
          <c:marker>
            <c:symbol val="circle"/>
            <c:size val="3"/>
            <c:spPr>
              <a:solidFill>
                <a:schemeClr val="accent5">
                  <a:lumMod val="60000"/>
                </a:schemeClr>
              </a:solidFill>
              <a:ln w="9525">
                <a:solidFill>
                  <a:schemeClr val="accent5">
                    <a:lumMod val="60000"/>
                  </a:schemeClr>
                </a:solidFill>
              </a:ln>
              <a:effectLst/>
            </c:spPr>
          </c:marker>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stooklijnen'!$O$10:$O$40</c:f>
              <c:numCache>
                <c:formatCode>#,#00</c:formatCode>
                <c:ptCount val="31"/>
                <c:pt idx="0">
                  <c:v>69.7</c:v>
                </c:pt>
                <c:pt idx="1">
                  <c:v>68</c:v>
                </c:pt>
                <c:pt idx="2">
                  <c:v>66.3</c:v>
                </c:pt>
                <c:pt idx="3">
                  <c:v>64.599999999999994</c:v>
                </c:pt>
                <c:pt idx="4">
                  <c:v>62.9</c:v>
                </c:pt>
                <c:pt idx="5">
                  <c:v>61.2</c:v>
                </c:pt>
                <c:pt idx="6">
                  <c:v>59.5</c:v>
                </c:pt>
                <c:pt idx="7">
                  <c:v>57.8</c:v>
                </c:pt>
                <c:pt idx="8">
                  <c:v>56.1</c:v>
                </c:pt>
                <c:pt idx="9">
                  <c:v>54.4</c:v>
                </c:pt>
                <c:pt idx="10">
                  <c:v>52.7</c:v>
                </c:pt>
                <c:pt idx="11">
                  <c:v>51</c:v>
                </c:pt>
                <c:pt idx="12">
                  <c:v>49.3</c:v>
                </c:pt>
                <c:pt idx="13">
                  <c:v>47.6</c:v>
                </c:pt>
                <c:pt idx="14">
                  <c:v>45.9</c:v>
                </c:pt>
                <c:pt idx="15">
                  <c:v>44.2</c:v>
                </c:pt>
                <c:pt idx="16">
                  <c:v>42.5</c:v>
                </c:pt>
                <c:pt idx="17">
                  <c:v>40.799999999999997</c:v>
                </c:pt>
                <c:pt idx="18">
                  <c:v>39.1</c:v>
                </c:pt>
                <c:pt idx="19">
                  <c:v>37.4</c:v>
                </c:pt>
                <c:pt idx="20">
                  <c:v>35.700000000000003</c:v>
                </c:pt>
                <c:pt idx="21">
                  <c:v>34</c:v>
                </c:pt>
                <c:pt idx="22">
                  <c:v>32.299999999999997</c:v>
                </c:pt>
                <c:pt idx="23">
                  <c:v>30.6</c:v>
                </c:pt>
                <c:pt idx="24">
                  <c:v>28.9</c:v>
                </c:pt>
                <c:pt idx="25">
                  <c:v>27.2</c:v>
                </c:pt>
                <c:pt idx="26">
                  <c:v>25.5</c:v>
                </c:pt>
                <c:pt idx="27">
                  <c:v>23.8</c:v>
                </c:pt>
                <c:pt idx="28">
                  <c:v>22.1</c:v>
                </c:pt>
                <c:pt idx="29">
                  <c:v>20.399999999999999</c:v>
                </c:pt>
                <c:pt idx="30">
                  <c:v>18.7</c:v>
                </c:pt>
              </c:numCache>
            </c:numRef>
          </c:yVal>
          <c:smooth val="0"/>
          <c:extLst>
            <c:ext xmlns:c16="http://schemas.microsoft.com/office/drawing/2014/chart" uri="{C3380CC4-5D6E-409C-BE32-E72D297353CC}">
              <c16:uniqueId val="{00000015-4D79-4B37-B927-7F7E9DB7FC60}"/>
            </c:ext>
          </c:extLst>
        </c:ser>
        <c:ser>
          <c:idx val="14"/>
          <c:order val="11"/>
          <c:tx>
            <c:strRef>
              <c:f>'Ta stooklijnen'!$AG$9</c:f>
              <c:strCache>
                <c:ptCount val="1"/>
                <c:pt idx="0">
                  <c:v>SL+Rcorr</c:v>
                </c:pt>
              </c:strCache>
            </c:strRef>
          </c:tx>
          <c:spPr>
            <a:ln w="28575" cap="rnd">
              <a:solidFill>
                <a:srgbClr val="FF0000"/>
              </a:solidFill>
              <a:prstDash val="dash"/>
              <a:round/>
            </a:ln>
            <a:effectLst/>
          </c:spPr>
          <c:marker>
            <c:symbol val="none"/>
          </c:marker>
          <c:xVal>
            <c:numRef>
              <c:f>'Ta stooklijnen'!$B$10:$B$40</c:f>
              <c:numCache>
                <c:formatCode>0</c:formatCode>
                <c:ptCount val="3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numCache>
            </c:numRef>
          </c:xVal>
          <c:yVal>
            <c:numRef>
              <c:f>'Ta stooklijnen'!$AG$10:$AG$39</c:f>
              <c:numCache>
                <c:formatCode>0.0</c:formatCode>
                <c:ptCount val="30"/>
                <c:pt idx="0">
                  <c:v>43.1</c:v>
                </c:pt>
                <c:pt idx="1">
                  <c:v>42.3</c:v>
                </c:pt>
                <c:pt idx="2">
                  <c:v>41.5</c:v>
                </c:pt>
                <c:pt idx="3">
                  <c:v>40.700000000000003</c:v>
                </c:pt>
                <c:pt idx="4">
                  <c:v>39.9</c:v>
                </c:pt>
                <c:pt idx="5">
                  <c:v>39.1</c:v>
                </c:pt>
                <c:pt idx="6">
                  <c:v>38.299999999999997</c:v>
                </c:pt>
                <c:pt idx="7">
                  <c:v>37.5</c:v>
                </c:pt>
                <c:pt idx="8">
                  <c:v>36.700000000000003</c:v>
                </c:pt>
                <c:pt idx="9">
                  <c:v>35.9</c:v>
                </c:pt>
                <c:pt idx="10">
                  <c:v>35.1</c:v>
                </c:pt>
                <c:pt idx="11">
                  <c:v>34.299999999999997</c:v>
                </c:pt>
                <c:pt idx="12">
                  <c:v>33.5</c:v>
                </c:pt>
                <c:pt idx="13">
                  <c:v>32.700000000000003</c:v>
                </c:pt>
                <c:pt idx="14">
                  <c:v>31.9</c:v>
                </c:pt>
                <c:pt idx="15">
                  <c:v>31.1</c:v>
                </c:pt>
                <c:pt idx="16">
                  <c:v>30.3</c:v>
                </c:pt>
                <c:pt idx="17">
                  <c:v>29.5</c:v>
                </c:pt>
                <c:pt idx="18">
                  <c:v>28.7</c:v>
                </c:pt>
                <c:pt idx="19">
                  <c:v>27.9</c:v>
                </c:pt>
                <c:pt idx="20">
                  <c:v>27.1</c:v>
                </c:pt>
                <c:pt idx="21">
                  <c:v>26.3</c:v>
                </c:pt>
                <c:pt idx="22">
                  <c:v>25.5</c:v>
                </c:pt>
                <c:pt idx="23">
                  <c:v>24.7</c:v>
                </c:pt>
                <c:pt idx="24">
                  <c:v>23.9</c:v>
                </c:pt>
                <c:pt idx="25">
                  <c:v>23.1</c:v>
                </c:pt>
                <c:pt idx="26">
                  <c:v>22.3</c:v>
                </c:pt>
                <c:pt idx="27">
                  <c:v>21.5</c:v>
                </c:pt>
                <c:pt idx="28">
                  <c:v>20.7</c:v>
                </c:pt>
                <c:pt idx="29">
                  <c:v>19.899999999999999</c:v>
                </c:pt>
              </c:numCache>
            </c:numRef>
          </c:yVal>
          <c:smooth val="0"/>
          <c:extLst>
            <c:ext xmlns:c16="http://schemas.microsoft.com/office/drawing/2014/chart" uri="{C3380CC4-5D6E-409C-BE32-E72D297353CC}">
              <c16:uniqueId val="{0000000C-5936-4AD4-ACEF-2703F1444390}"/>
            </c:ext>
          </c:extLst>
        </c:ser>
        <c:ser>
          <c:idx val="11"/>
          <c:order val="12"/>
          <c:tx>
            <c:v>CP000</c:v>
          </c:tx>
          <c:spPr>
            <a:ln w="19050" cap="rnd">
              <a:solidFill>
                <a:srgbClr val="FF0000"/>
              </a:solidFill>
              <a:prstDash val="solid"/>
              <a:round/>
            </a:ln>
            <a:effectLst/>
          </c:spPr>
          <c:marker>
            <c:symbol val="none"/>
          </c:marker>
          <c:xVal>
            <c:numRef>
              <c:f>'Ta stooklijnen'!$AJ$10:$AJ$11</c:f>
              <c:numCache>
                <c:formatCode>0\⁰</c:formatCode>
                <c:ptCount val="2"/>
                <c:pt idx="0">
                  <c:v>-15</c:v>
                </c:pt>
                <c:pt idx="1">
                  <c:v>20</c:v>
                </c:pt>
              </c:numCache>
            </c:numRef>
          </c:xVal>
          <c:yVal>
            <c:numRef>
              <c:f>'Ta stooklijnen'!$AK$10:$AK$11</c:f>
              <c:numCache>
                <c:formatCode>0\⁰</c:formatCode>
                <c:ptCount val="2"/>
                <c:pt idx="0">
                  <c:v>45</c:v>
                </c:pt>
                <c:pt idx="1">
                  <c:v>45</c:v>
                </c:pt>
              </c:numCache>
            </c:numRef>
          </c:yVal>
          <c:smooth val="0"/>
          <c:extLst>
            <c:ext xmlns:c16="http://schemas.microsoft.com/office/drawing/2014/chart" uri="{C3380CC4-5D6E-409C-BE32-E72D297353CC}">
              <c16:uniqueId val="{0000000B-94D3-4387-8E5F-9EEA55392E70}"/>
            </c:ext>
          </c:extLst>
        </c:ser>
        <c:ser>
          <c:idx val="15"/>
          <c:order val="13"/>
          <c:tx>
            <c:strRef>
              <c:f>'Ta stooklijnen'!$AL$9</c:f>
              <c:strCache>
                <c:ptCount val="1"/>
                <c:pt idx="0">
                  <c:v>AP063</c:v>
                </c:pt>
              </c:strCache>
            </c:strRef>
          </c:tx>
          <c:spPr>
            <a:ln w="19050" cap="rnd">
              <a:solidFill>
                <a:srgbClr val="FFC000"/>
              </a:solidFill>
              <a:prstDash val="dash"/>
              <a:round/>
            </a:ln>
            <a:effectLst/>
          </c:spPr>
          <c:marker>
            <c:symbol val="none"/>
          </c:marker>
          <c:xVal>
            <c:numRef>
              <c:f>'Ta stooklijnen'!$AJ$10:$AJ$11</c:f>
              <c:numCache>
                <c:formatCode>0\⁰</c:formatCode>
                <c:ptCount val="2"/>
                <c:pt idx="0">
                  <c:v>-15</c:v>
                </c:pt>
                <c:pt idx="1">
                  <c:v>20</c:v>
                </c:pt>
              </c:numCache>
            </c:numRef>
          </c:xVal>
          <c:yVal>
            <c:numRef>
              <c:f>'Ta stooklijnen'!$AL$10:$AL$11</c:f>
              <c:numCache>
                <c:formatCode>0</c:formatCode>
                <c:ptCount val="2"/>
                <c:pt idx="0">
                  <c:v>50</c:v>
                </c:pt>
                <c:pt idx="1">
                  <c:v>50</c:v>
                </c:pt>
              </c:numCache>
            </c:numRef>
          </c:yVal>
          <c:smooth val="0"/>
          <c:extLst>
            <c:ext xmlns:c16="http://schemas.microsoft.com/office/drawing/2014/chart" uri="{C3380CC4-5D6E-409C-BE32-E72D297353CC}">
              <c16:uniqueId val="{0000000B-2796-4EC9-91C8-9B9FE045331C}"/>
            </c:ext>
          </c:extLst>
        </c:ser>
        <c:ser>
          <c:idx val="12"/>
          <c:order val="14"/>
          <c:tx>
            <c:strRef>
              <c:f>'Ta stooklijnen'!$AO$9</c:f>
              <c:strCache>
                <c:ptCount val="1"/>
                <c:pt idx="0">
                  <c:v>HP000</c:v>
                </c:pt>
              </c:strCache>
            </c:strRef>
          </c:tx>
          <c:spPr>
            <a:ln w="19050" cap="rnd">
              <a:solidFill>
                <a:srgbClr val="00B050"/>
              </a:solidFill>
              <a:prstDash val="lgDash"/>
              <a:round/>
            </a:ln>
            <a:effectLst/>
          </c:spPr>
          <c:marker>
            <c:symbol val="none"/>
          </c:marker>
          <c:xVal>
            <c:numRef>
              <c:f>'Ta stooklijnen'!$AO$10:$AO$11</c:f>
              <c:numCache>
                <c:formatCode>0\⁰</c:formatCode>
                <c:ptCount val="2"/>
                <c:pt idx="0">
                  <c:v>3</c:v>
                </c:pt>
                <c:pt idx="1">
                  <c:v>3</c:v>
                </c:pt>
              </c:numCache>
            </c:numRef>
          </c:xVal>
          <c:yVal>
            <c:numRef>
              <c:f>'Ta stooklijnen'!$AN$10:$AN$11</c:f>
              <c:numCache>
                <c:formatCode>0\⁰</c:formatCode>
                <c:ptCount val="2"/>
                <c:pt idx="0">
                  <c:v>20</c:v>
                </c:pt>
                <c:pt idx="1">
                  <c:v>75</c:v>
                </c:pt>
              </c:numCache>
            </c:numRef>
          </c:yVal>
          <c:smooth val="0"/>
          <c:extLst>
            <c:ext xmlns:c16="http://schemas.microsoft.com/office/drawing/2014/chart" uri="{C3380CC4-5D6E-409C-BE32-E72D297353CC}">
              <c16:uniqueId val="{0000000D-94D3-4387-8E5F-9EEA55392E70}"/>
            </c:ext>
          </c:extLst>
        </c:ser>
        <c:ser>
          <c:idx val="13"/>
          <c:order val="15"/>
          <c:tx>
            <c:strRef>
              <c:f>'Ta stooklijnen'!$AP$9</c:f>
              <c:strCache>
                <c:ptCount val="1"/>
                <c:pt idx="0">
                  <c:v>HP051</c:v>
                </c:pt>
              </c:strCache>
            </c:strRef>
          </c:tx>
          <c:spPr>
            <a:ln w="19050" cap="rnd">
              <a:solidFill>
                <a:srgbClr val="00B050"/>
              </a:solidFill>
              <a:prstDash val="sysDash"/>
              <a:round/>
            </a:ln>
            <a:effectLst/>
          </c:spPr>
          <c:marker>
            <c:symbol val="none"/>
          </c:marker>
          <c:xVal>
            <c:numRef>
              <c:f>'Ta stooklijnen'!$AP$10:$AP$11</c:f>
              <c:numCache>
                <c:formatCode>0\⁰</c:formatCode>
                <c:ptCount val="2"/>
                <c:pt idx="0">
                  <c:v>-12</c:v>
                </c:pt>
                <c:pt idx="1">
                  <c:v>-12</c:v>
                </c:pt>
              </c:numCache>
            </c:numRef>
          </c:xVal>
          <c:yVal>
            <c:numRef>
              <c:f>'Ta stooklijnen'!$AN$10:$AN$11</c:f>
              <c:numCache>
                <c:formatCode>0\⁰</c:formatCode>
                <c:ptCount val="2"/>
                <c:pt idx="0">
                  <c:v>20</c:v>
                </c:pt>
                <c:pt idx="1">
                  <c:v>75</c:v>
                </c:pt>
              </c:numCache>
            </c:numRef>
          </c:yVal>
          <c:smooth val="0"/>
          <c:extLst>
            <c:ext xmlns:c16="http://schemas.microsoft.com/office/drawing/2014/chart" uri="{C3380CC4-5D6E-409C-BE32-E72D297353CC}">
              <c16:uniqueId val="{0000000F-94D3-4387-8E5F-9EEA55392E70}"/>
            </c:ext>
          </c:extLst>
        </c:ser>
        <c:ser>
          <c:idx val="16"/>
          <c:order val="16"/>
          <c:tx>
            <c:strRef>
              <c:f>'Ta stooklijnen'!$AQ$9</c:f>
              <c:strCache>
                <c:ptCount val="1"/>
                <c:pt idx="0">
                  <c:v>Tb</c:v>
                </c:pt>
              </c:strCache>
            </c:strRef>
          </c:tx>
          <c:spPr>
            <a:ln w="19050" cap="flat">
              <a:solidFill>
                <a:srgbClr val="993366"/>
              </a:solidFill>
              <a:prstDash val="sysDash"/>
              <a:round/>
            </a:ln>
            <a:effectLst/>
          </c:spPr>
          <c:marker>
            <c:symbol val="none"/>
          </c:marker>
          <c:xVal>
            <c:numRef>
              <c:f>'Ta stooklijnen'!$AQ$10:$AQ$11</c:f>
              <c:numCache>
                <c:formatCode>0\⁰</c:formatCode>
                <c:ptCount val="2"/>
                <c:pt idx="0">
                  <c:v>2</c:v>
                </c:pt>
                <c:pt idx="1">
                  <c:v>2</c:v>
                </c:pt>
              </c:numCache>
            </c:numRef>
          </c:xVal>
          <c:yVal>
            <c:numRef>
              <c:f>'Ta stooklijnen'!$AN$10:$AN$11</c:f>
              <c:numCache>
                <c:formatCode>0\⁰</c:formatCode>
                <c:ptCount val="2"/>
                <c:pt idx="0">
                  <c:v>20</c:v>
                </c:pt>
                <c:pt idx="1">
                  <c:v>75</c:v>
                </c:pt>
              </c:numCache>
            </c:numRef>
          </c:yVal>
          <c:smooth val="0"/>
          <c:extLst>
            <c:ext xmlns:c16="http://schemas.microsoft.com/office/drawing/2014/chart" uri="{C3380CC4-5D6E-409C-BE32-E72D297353CC}">
              <c16:uniqueId val="{0000000D-335C-4081-A7E3-0DA0E5D3D32D}"/>
            </c:ext>
          </c:extLst>
        </c:ser>
        <c:dLbls>
          <c:showLegendKey val="0"/>
          <c:showVal val="0"/>
          <c:showCatName val="0"/>
          <c:showSerName val="0"/>
          <c:showPercent val="0"/>
          <c:showBubbleSize val="0"/>
        </c:dLbls>
        <c:axId val="687632528"/>
        <c:axId val="687631872"/>
        <c:extLst/>
      </c:scatterChart>
      <c:valAx>
        <c:axId val="687632528"/>
        <c:scaling>
          <c:orientation val="minMax"/>
          <c:max val="20"/>
          <c:min val="-15"/>
        </c:scaling>
        <c:delete val="0"/>
        <c:axPos val="b"/>
        <c:majorGridlines>
          <c:spPr>
            <a:ln w="9525" cap="flat" cmpd="sng" algn="ctr">
              <a:solidFill>
                <a:schemeClr val="bg1">
                  <a:lumMod val="7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r>
                  <a:rPr lang="nl-NL" sz="1200">
                    <a:solidFill>
                      <a:sysClr val="windowText" lastClr="000000"/>
                    </a:solidFill>
                    <a:latin typeface="+mn-lt"/>
                    <a:cs typeface="Arial" panose="020B0604020202020204" pitchFamily="34" charset="0"/>
                  </a:rPr>
                  <a:t>buitentemperatuur in ⁰C</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endParaRPr lang="nl-NL"/>
            </a:p>
          </c:txPr>
        </c:title>
        <c:numFmt formatCode="0_ ;[Blue]\-0\ " sourceLinked="0"/>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nl-NL"/>
          </a:p>
        </c:txPr>
        <c:crossAx val="687631872"/>
        <c:crosses val="autoZero"/>
        <c:crossBetween val="midCat"/>
        <c:minorUnit val="1"/>
      </c:valAx>
      <c:valAx>
        <c:axId val="687631872"/>
        <c:scaling>
          <c:orientation val="minMax"/>
          <c:max val="75"/>
          <c:min val="20"/>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nl-NL" sz="1200">
                    <a:solidFill>
                      <a:sysClr val="windowText" lastClr="000000"/>
                    </a:solidFill>
                    <a:latin typeface="+mn-lt"/>
                  </a:rPr>
                  <a:t>aanvoertemperatuur</a:t>
                </a:r>
                <a:r>
                  <a:rPr lang="nl-NL" sz="1200" baseline="0">
                    <a:solidFill>
                      <a:sysClr val="windowText" lastClr="000000"/>
                    </a:solidFill>
                    <a:latin typeface="+mn-lt"/>
                  </a:rPr>
                  <a:t> Elga Ace en/of cv-ketel in </a:t>
                </a:r>
                <a:r>
                  <a:rPr lang="nl-NL" sz="1200" baseline="0">
                    <a:solidFill>
                      <a:sysClr val="windowText" lastClr="000000"/>
                    </a:solidFill>
                    <a:latin typeface="+mn-lt"/>
                    <a:cs typeface="Calibri" panose="020F0502020204030204" pitchFamily="34" charset="0"/>
                  </a:rPr>
                  <a:t>⁰</a:t>
                </a:r>
                <a:r>
                  <a:rPr lang="nl-NL" sz="1200" baseline="0">
                    <a:solidFill>
                      <a:sysClr val="windowText" lastClr="000000"/>
                    </a:solidFill>
                    <a:latin typeface="+mn-lt"/>
                  </a:rPr>
                  <a:t>C</a:t>
                </a:r>
                <a:endParaRPr lang="nl-NL" sz="1200">
                  <a:solidFill>
                    <a:sysClr val="windowText" lastClr="000000"/>
                  </a:solidFill>
                  <a:latin typeface="+mn-lt"/>
                </a:endParaRPr>
              </a:p>
            </c:rich>
          </c:tx>
          <c:layout>
            <c:manualLayout>
              <c:xMode val="edge"/>
              <c:yMode val="edge"/>
              <c:x val="9.5548965889341621E-3"/>
              <c:y val="0.232921018131145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nl-NL"/>
            </a:p>
          </c:txPr>
        </c:title>
        <c:numFmt formatCode="#,##0" sourceLinked="0"/>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nl-NL"/>
          </a:p>
        </c:txPr>
        <c:crossAx val="687632528"/>
        <c:crossesAt val="-10"/>
        <c:crossBetween val="midCat"/>
        <c:majorUnit val="5"/>
      </c:valAx>
      <c:spPr>
        <a:noFill/>
        <a:ln>
          <a:noFill/>
        </a:ln>
        <a:effectLst/>
      </c:spPr>
    </c:plotArea>
    <c:legend>
      <c:legendPos val="b"/>
      <c:legendEntry>
        <c:idx val="1"/>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nl-NL"/>
          </a:p>
        </c:txPr>
      </c:legendEntry>
      <c:layout>
        <c:manualLayout>
          <c:xMode val="edge"/>
          <c:yMode val="edge"/>
          <c:x val="0.11098375339144284"/>
          <c:y val="0.93563065341045826"/>
          <c:w val="0.80868798389797836"/>
          <c:h val="6.4369346589541715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nl-NL"/>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Vertragingslijnen!$H$2</c:f>
          <c:strCache>
            <c:ptCount val="1"/>
            <c:pt idx="0">
              <c:v>Vertragingslijnen voor inzet combi-ketel</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title>
    <c:autoTitleDeleted val="0"/>
    <c:plotArea>
      <c:layout>
        <c:manualLayout>
          <c:layoutTarget val="inner"/>
          <c:xMode val="edge"/>
          <c:yMode val="edge"/>
          <c:x val="5.7423292141734888E-2"/>
          <c:y val="0.12446035154696572"/>
          <c:w val="0.90703583416191114"/>
          <c:h val="0.7427051618547682"/>
        </c:manualLayout>
      </c:layout>
      <c:lineChart>
        <c:grouping val="standard"/>
        <c:varyColors val="0"/>
        <c:ser>
          <c:idx val="3"/>
          <c:order val="0"/>
          <c:tx>
            <c:v>4-26 min</c:v>
          </c:tx>
          <c:spPr>
            <a:ln w="15875" cap="rnd">
              <a:solidFill>
                <a:srgbClr val="7030A0"/>
              </a:solidFill>
              <a:round/>
            </a:ln>
            <a:effectLst/>
          </c:spPr>
          <c:marker>
            <c:symbol val="circle"/>
            <c:size val="4"/>
            <c:spPr>
              <a:solidFill>
                <a:srgbClr val="7030A0"/>
              </a:solidFill>
              <a:ln w="9525">
                <a:noFill/>
              </a:ln>
              <a:effectLst/>
            </c:spPr>
          </c:marker>
          <c:dPt>
            <c:idx val="2"/>
            <c:marker>
              <c:symbol val="circle"/>
              <c:size val="4"/>
              <c:spPr>
                <a:solidFill>
                  <a:srgbClr val="FF0000"/>
                </a:solidFill>
                <a:ln w="9525">
                  <a:noFill/>
                </a:ln>
                <a:effectLst/>
              </c:spPr>
            </c:marker>
            <c:bubble3D val="0"/>
            <c:extLst xmlns:c15="http://schemas.microsoft.com/office/drawing/2012/chart">
              <c:ext xmlns:c16="http://schemas.microsoft.com/office/drawing/2014/chart" uri="{C3380CC4-5D6E-409C-BE32-E72D297353CC}">
                <c16:uniqueId val="{00000000-DF35-4822-A162-82CDAAFB1E69}"/>
              </c:ext>
            </c:extLst>
          </c:dPt>
          <c:dPt>
            <c:idx val="12"/>
            <c:marker>
              <c:symbol val="circle"/>
              <c:size val="4"/>
              <c:spPr>
                <a:solidFill>
                  <a:srgbClr val="7030A0"/>
                </a:solidFill>
                <a:ln w="9525">
                  <a:noFill/>
                </a:ln>
                <a:effectLst/>
              </c:spPr>
            </c:marker>
            <c:bubble3D val="0"/>
            <c:extLst xmlns:c15="http://schemas.microsoft.com/office/drawing/2012/chart">
              <c:ext xmlns:c16="http://schemas.microsoft.com/office/drawing/2014/chart" uri="{C3380CC4-5D6E-409C-BE32-E72D297353CC}">
                <c16:uniqueId val="{00000001-DF35-4822-A162-82CDAAFB1E69}"/>
              </c:ext>
            </c:extLst>
          </c:dPt>
          <c:dPt>
            <c:idx val="13"/>
            <c:marker>
              <c:symbol val="circle"/>
              <c:size val="4"/>
              <c:spPr>
                <a:solidFill>
                  <a:srgbClr val="FF0000"/>
                </a:solidFill>
                <a:ln w="9525">
                  <a:noFill/>
                </a:ln>
                <a:effectLst/>
              </c:spPr>
            </c:marker>
            <c:bubble3D val="0"/>
            <c:extLst xmlns:c15="http://schemas.microsoft.com/office/drawing/2012/chart">
              <c:ext xmlns:c16="http://schemas.microsoft.com/office/drawing/2014/chart" uri="{C3380CC4-5D6E-409C-BE32-E72D297353CC}">
                <c16:uniqueId val="{00000002-DF35-4822-A162-82CDAAFB1E69}"/>
              </c:ext>
            </c:extLst>
          </c:dPt>
          <c:cat>
            <c:numRef>
              <c:f>Vertragingslijnen!$G$5:$G$35</c:f>
              <c:numCache>
                <c:formatCode>0</c:formatCode>
                <c:ptCount val="31"/>
                <c:pt idx="0" formatCode="General">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numCache>
              <c:extLst xmlns:c15="http://schemas.microsoft.com/office/drawing/2012/chart"/>
            </c:numRef>
          </c:cat>
          <c:val>
            <c:numRef>
              <c:f>Vertragingslijnen!$K$5:$K$35</c:f>
              <c:numCache>
                <c:formatCode>0.0</c:formatCode>
                <c:ptCount val="31"/>
                <c:pt idx="2">
                  <c:v>-10</c:v>
                </c:pt>
                <c:pt idx="3">
                  <c:v>-7.7272727272727266</c:v>
                </c:pt>
                <c:pt idx="4">
                  <c:v>-5.4545454545454533</c:v>
                </c:pt>
                <c:pt idx="5">
                  <c:v>-3.1818181818181803</c:v>
                </c:pt>
                <c:pt idx="6">
                  <c:v>-0.9090909090909074</c:v>
                </c:pt>
                <c:pt idx="7">
                  <c:v>1.3636363636363655</c:v>
                </c:pt>
                <c:pt idx="8">
                  <c:v>3.6363636363636385</c:v>
                </c:pt>
                <c:pt idx="9">
                  <c:v>5.9090909090909118</c:v>
                </c:pt>
                <c:pt idx="10">
                  <c:v>8.1818181818181852</c:v>
                </c:pt>
                <c:pt idx="11">
                  <c:v>10.454545454545459</c:v>
                </c:pt>
                <c:pt idx="12">
                  <c:v>12.727272727272732</c:v>
                </c:pt>
                <c:pt idx="13">
                  <c:v>15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DF35-4822-A162-82CDAAFB1E69}"/>
            </c:ext>
          </c:extLst>
        </c:ser>
        <c:ser>
          <c:idx val="1"/>
          <c:order val="1"/>
          <c:tx>
            <c:v>standaard 8-30 min</c:v>
          </c:tx>
          <c:spPr>
            <a:ln w="15875" cap="rnd">
              <a:solidFill>
                <a:srgbClr val="00B050"/>
              </a:solidFill>
              <a:round/>
            </a:ln>
            <a:effectLst/>
          </c:spPr>
          <c:marker>
            <c:symbol val="circle"/>
            <c:size val="4"/>
            <c:spPr>
              <a:solidFill>
                <a:srgbClr val="00B050"/>
              </a:solidFill>
              <a:ln w="9525">
                <a:solidFill>
                  <a:srgbClr val="00B050"/>
                </a:solidFill>
              </a:ln>
              <a:effectLst/>
            </c:spPr>
          </c:marker>
          <c:dPt>
            <c:idx val="4"/>
            <c:marker>
              <c:symbol val="circle"/>
              <c:size val="4"/>
              <c:spPr>
                <a:solidFill>
                  <a:srgbClr val="FF0000"/>
                </a:solidFill>
                <a:ln w="9525">
                  <a:noFill/>
                </a:ln>
                <a:effectLst/>
              </c:spPr>
            </c:marker>
            <c:bubble3D val="0"/>
            <c:extLst>
              <c:ext xmlns:c16="http://schemas.microsoft.com/office/drawing/2014/chart" uri="{C3380CC4-5D6E-409C-BE32-E72D297353CC}">
                <c16:uniqueId val="{00000004-DF35-4822-A162-82CDAAFB1E69}"/>
              </c:ext>
            </c:extLst>
          </c:dPt>
          <c:dPt>
            <c:idx val="15"/>
            <c:marker>
              <c:symbol val="circle"/>
              <c:size val="4"/>
              <c:spPr>
                <a:solidFill>
                  <a:srgbClr val="FF0000"/>
                </a:solidFill>
                <a:ln w="9525">
                  <a:noFill/>
                </a:ln>
                <a:effectLst/>
              </c:spPr>
            </c:marker>
            <c:bubble3D val="0"/>
            <c:extLst>
              <c:ext xmlns:c16="http://schemas.microsoft.com/office/drawing/2014/chart" uri="{C3380CC4-5D6E-409C-BE32-E72D297353CC}">
                <c16:uniqueId val="{00000005-DF35-4822-A162-82CDAAFB1E69}"/>
              </c:ext>
            </c:extLst>
          </c:dPt>
          <c:dPt>
            <c:idx val="30"/>
            <c:marker>
              <c:symbol val="circle"/>
              <c:size val="4"/>
              <c:spPr>
                <a:solidFill>
                  <a:schemeClr val="accent2"/>
                </a:solidFill>
                <a:ln w="9525">
                  <a:solidFill>
                    <a:schemeClr val="accent2"/>
                  </a:solidFill>
                </a:ln>
                <a:effectLst/>
              </c:spPr>
            </c:marker>
            <c:bubble3D val="0"/>
            <c:spPr>
              <a:ln w="15875" cap="rnd">
                <a:solidFill>
                  <a:schemeClr val="accent2"/>
                </a:solidFill>
                <a:round/>
              </a:ln>
              <a:effectLst/>
            </c:spPr>
            <c:extLst>
              <c:ext xmlns:c16="http://schemas.microsoft.com/office/drawing/2014/chart" uri="{C3380CC4-5D6E-409C-BE32-E72D297353CC}">
                <c16:uniqueId val="{00000007-DF35-4822-A162-82CDAAFB1E69}"/>
              </c:ext>
            </c:extLst>
          </c:dPt>
          <c:cat>
            <c:numRef>
              <c:f>Vertragingslijnen!$G$5:$G$35</c:f>
              <c:numCache>
                <c:formatCode>0</c:formatCode>
                <c:ptCount val="31"/>
                <c:pt idx="0" formatCode="General">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numCache>
            </c:numRef>
          </c:cat>
          <c:val>
            <c:numRef>
              <c:f>Vertragingslijnen!$H$5:$H$35</c:f>
              <c:numCache>
                <c:formatCode>General</c:formatCode>
                <c:ptCount val="31"/>
                <c:pt idx="4" formatCode="0.0">
                  <c:v>-10</c:v>
                </c:pt>
                <c:pt idx="5" formatCode="0.0">
                  <c:v>-7.7272727272727266</c:v>
                </c:pt>
                <c:pt idx="6" formatCode="0.0">
                  <c:v>-5.4545454545454533</c:v>
                </c:pt>
                <c:pt idx="7" formatCode="0.0">
                  <c:v>-3.1818181818181803</c:v>
                </c:pt>
                <c:pt idx="8" formatCode="0.0">
                  <c:v>-0.9090909090909074</c:v>
                </c:pt>
                <c:pt idx="9" formatCode="0.0">
                  <c:v>1.3636363636363655</c:v>
                </c:pt>
                <c:pt idx="10" formatCode="0.0">
                  <c:v>3.6363636363636385</c:v>
                </c:pt>
                <c:pt idx="11" formatCode="0.0">
                  <c:v>5.9090909090909118</c:v>
                </c:pt>
                <c:pt idx="12" formatCode="0.0">
                  <c:v>8.1818181818181852</c:v>
                </c:pt>
                <c:pt idx="13" formatCode="0.0">
                  <c:v>10.454545454545459</c:v>
                </c:pt>
                <c:pt idx="14" formatCode="0.0">
                  <c:v>12.727272727272732</c:v>
                </c:pt>
                <c:pt idx="15" formatCode="0.0">
                  <c:v>15</c:v>
                </c:pt>
              </c:numCache>
            </c:numRef>
          </c:val>
          <c:smooth val="0"/>
          <c:extLst>
            <c:ext xmlns:c16="http://schemas.microsoft.com/office/drawing/2014/chart" uri="{C3380CC4-5D6E-409C-BE32-E72D297353CC}">
              <c16:uniqueId val="{00000008-DF35-4822-A162-82CDAAFB1E69}"/>
            </c:ext>
          </c:extLst>
        </c:ser>
        <c:ser>
          <c:idx val="0"/>
          <c:order val="2"/>
          <c:tx>
            <c:v>8-44 min</c:v>
          </c:tx>
          <c:spPr>
            <a:ln w="15875" cap="rnd">
              <a:solidFill>
                <a:srgbClr val="FFC000"/>
              </a:solidFill>
              <a:round/>
            </a:ln>
            <a:effectLst/>
          </c:spPr>
          <c:marker>
            <c:symbol val="circle"/>
            <c:size val="4"/>
            <c:spPr>
              <a:solidFill>
                <a:srgbClr val="FFC000"/>
              </a:solidFill>
              <a:ln w="9525">
                <a:noFill/>
              </a:ln>
              <a:effectLst/>
            </c:spPr>
          </c:marker>
          <c:dPt>
            <c:idx val="2"/>
            <c:marker>
              <c:symbol val="circle"/>
              <c:size val="4"/>
              <c:spPr>
                <a:solidFill>
                  <a:srgbClr val="FFC000"/>
                </a:solidFill>
                <a:ln w="9525">
                  <a:noFill/>
                </a:ln>
                <a:effectLst/>
              </c:spPr>
            </c:marker>
            <c:bubble3D val="0"/>
            <c:extLst>
              <c:ext xmlns:c16="http://schemas.microsoft.com/office/drawing/2014/chart" uri="{C3380CC4-5D6E-409C-BE32-E72D297353CC}">
                <c16:uniqueId val="{00000009-DF35-4822-A162-82CDAAFB1E69}"/>
              </c:ext>
            </c:extLst>
          </c:dPt>
          <c:dPt>
            <c:idx val="4"/>
            <c:marker>
              <c:symbol val="circle"/>
              <c:size val="4"/>
              <c:spPr>
                <a:solidFill>
                  <a:srgbClr val="FFC000"/>
                </a:solidFill>
                <a:ln w="9525">
                  <a:noFill/>
                </a:ln>
                <a:effectLst/>
              </c:spPr>
            </c:marker>
            <c:bubble3D val="0"/>
            <c:extLst>
              <c:ext xmlns:c16="http://schemas.microsoft.com/office/drawing/2014/chart" uri="{C3380CC4-5D6E-409C-BE32-E72D297353CC}">
                <c16:uniqueId val="{0000000A-DF35-4822-A162-82CDAAFB1E69}"/>
              </c:ext>
            </c:extLst>
          </c:dPt>
          <c:dPt>
            <c:idx val="15"/>
            <c:marker>
              <c:symbol val="circle"/>
              <c:size val="4"/>
              <c:spPr>
                <a:solidFill>
                  <a:srgbClr val="FFC000"/>
                </a:solidFill>
                <a:ln w="9525">
                  <a:noFill/>
                </a:ln>
                <a:effectLst/>
              </c:spPr>
            </c:marker>
            <c:bubble3D val="0"/>
            <c:extLst>
              <c:ext xmlns:c16="http://schemas.microsoft.com/office/drawing/2014/chart" uri="{C3380CC4-5D6E-409C-BE32-E72D297353CC}">
                <c16:uniqueId val="{0000000B-DF35-4822-A162-82CDAAFB1E69}"/>
              </c:ext>
            </c:extLst>
          </c:dPt>
          <c:dPt>
            <c:idx val="22"/>
            <c:marker>
              <c:symbol val="circle"/>
              <c:size val="4"/>
              <c:spPr>
                <a:solidFill>
                  <a:srgbClr val="FFC000"/>
                </a:solidFill>
                <a:ln w="9525">
                  <a:noFill/>
                </a:ln>
                <a:effectLst/>
              </c:spPr>
            </c:marker>
            <c:bubble3D val="0"/>
            <c:extLst>
              <c:ext xmlns:c16="http://schemas.microsoft.com/office/drawing/2014/chart" uri="{C3380CC4-5D6E-409C-BE32-E72D297353CC}">
                <c16:uniqueId val="{0000000C-DF35-4822-A162-82CDAAFB1E69}"/>
              </c:ext>
            </c:extLst>
          </c:dPt>
          <c:cat>
            <c:numRef>
              <c:f>Vertragingslijnen!$G$5:$G$35</c:f>
              <c:numCache>
                <c:formatCode>0</c:formatCode>
                <c:ptCount val="31"/>
                <c:pt idx="0" formatCode="General">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numCache>
            </c:numRef>
          </c:cat>
          <c:val>
            <c:numRef>
              <c:f>Vertragingslijnen!$I$5:$I$35</c:f>
              <c:numCache>
                <c:formatCode>0.0</c:formatCode>
                <c:ptCount val="31"/>
                <c:pt idx="4">
                  <c:v>-10</c:v>
                </c:pt>
                <c:pt idx="5">
                  <c:v>-8.6111111111111107</c:v>
                </c:pt>
                <c:pt idx="6">
                  <c:v>-7.2222222222222214</c:v>
                </c:pt>
                <c:pt idx="7">
                  <c:v>-5.8333333333333321</c:v>
                </c:pt>
                <c:pt idx="8">
                  <c:v>-4.4444444444444429</c:v>
                </c:pt>
                <c:pt idx="9">
                  <c:v>-3.055555555555554</c:v>
                </c:pt>
                <c:pt idx="10">
                  <c:v>-1.6666666666666652</c:v>
                </c:pt>
                <c:pt idx="11">
                  <c:v>-0.27777777777777635</c:v>
                </c:pt>
                <c:pt idx="12">
                  <c:v>1.1111111111111125</c:v>
                </c:pt>
                <c:pt idx="13">
                  <c:v>2.5000000000000013</c:v>
                </c:pt>
                <c:pt idx="14">
                  <c:v>3.8888888888888902</c:v>
                </c:pt>
                <c:pt idx="15">
                  <c:v>5.2777777777777786</c:v>
                </c:pt>
                <c:pt idx="16">
                  <c:v>6.6666666666666679</c:v>
                </c:pt>
                <c:pt idx="17">
                  <c:v>8.0555555555555571</c:v>
                </c:pt>
                <c:pt idx="18">
                  <c:v>9.4444444444444464</c:v>
                </c:pt>
                <c:pt idx="19">
                  <c:v>10.833333333333336</c:v>
                </c:pt>
                <c:pt idx="20">
                  <c:v>12.222222222222225</c:v>
                </c:pt>
                <c:pt idx="21">
                  <c:v>13.611111111111114</c:v>
                </c:pt>
                <c:pt idx="22">
                  <c:v>15</c:v>
                </c:pt>
              </c:numCache>
            </c:numRef>
          </c:val>
          <c:smooth val="0"/>
          <c:extLst>
            <c:ext xmlns:c16="http://schemas.microsoft.com/office/drawing/2014/chart" uri="{C3380CC4-5D6E-409C-BE32-E72D297353CC}">
              <c16:uniqueId val="{0000000D-DF35-4822-A162-82CDAAFB1E69}"/>
            </c:ext>
          </c:extLst>
        </c:ser>
        <c:ser>
          <c:idx val="2"/>
          <c:order val="3"/>
          <c:tx>
            <c:v>4-60 min</c:v>
          </c:tx>
          <c:spPr>
            <a:ln w="15875" cap="rnd">
              <a:solidFill>
                <a:schemeClr val="bg1">
                  <a:lumMod val="50000"/>
                </a:schemeClr>
              </a:solidFill>
              <a:round/>
            </a:ln>
            <a:effectLst/>
          </c:spPr>
          <c:marker>
            <c:symbol val="circle"/>
            <c:size val="4"/>
            <c:spPr>
              <a:solidFill>
                <a:schemeClr val="bg1">
                  <a:lumMod val="50000"/>
                </a:schemeClr>
              </a:solidFill>
              <a:ln w="9525">
                <a:noFill/>
              </a:ln>
              <a:effectLst/>
            </c:spPr>
          </c:marker>
          <c:dPt>
            <c:idx val="2"/>
            <c:marker>
              <c:symbol val="circle"/>
              <c:size val="4"/>
              <c:spPr>
                <a:solidFill>
                  <a:schemeClr val="bg1">
                    <a:lumMod val="50000"/>
                  </a:schemeClr>
                </a:solidFill>
                <a:ln w="9525">
                  <a:noFill/>
                </a:ln>
                <a:effectLst/>
              </c:spPr>
            </c:marker>
            <c:bubble3D val="0"/>
            <c:extLst>
              <c:ext xmlns:c16="http://schemas.microsoft.com/office/drawing/2014/chart" uri="{C3380CC4-5D6E-409C-BE32-E72D297353CC}">
                <c16:uniqueId val="{0000000E-DF35-4822-A162-82CDAAFB1E69}"/>
              </c:ext>
            </c:extLst>
          </c:dPt>
          <c:dPt>
            <c:idx val="30"/>
            <c:marker>
              <c:symbol val="circle"/>
              <c:size val="4"/>
              <c:spPr>
                <a:solidFill>
                  <a:schemeClr val="bg1">
                    <a:lumMod val="50000"/>
                  </a:schemeClr>
                </a:solidFill>
                <a:ln w="9525">
                  <a:noFill/>
                </a:ln>
                <a:effectLst/>
              </c:spPr>
            </c:marker>
            <c:bubble3D val="0"/>
            <c:extLst>
              <c:ext xmlns:c16="http://schemas.microsoft.com/office/drawing/2014/chart" uri="{C3380CC4-5D6E-409C-BE32-E72D297353CC}">
                <c16:uniqueId val="{0000000F-DF35-4822-A162-82CDAAFB1E69}"/>
              </c:ext>
            </c:extLst>
          </c:dPt>
          <c:cat>
            <c:numRef>
              <c:f>Vertragingslijnen!$G$5:$G$35</c:f>
              <c:numCache>
                <c:formatCode>0</c:formatCode>
                <c:ptCount val="31"/>
                <c:pt idx="0" formatCode="General">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numCache>
            </c:numRef>
          </c:cat>
          <c:val>
            <c:numRef>
              <c:f>Vertragingslijnen!$J$5:$J$35</c:f>
              <c:numCache>
                <c:formatCode>0.0</c:formatCode>
                <c:ptCount val="31"/>
                <c:pt idx="2">
                  <c:v>-10</c:v>
                </c:pt>
                <c:pt idx="3">
                  <c:v>-9.1071428571428577</c:v>
                </c:pt>
                <c:pt idx="4">
                  <c:v>-8.2142857142857153</c:v>
                </c:pt>
                <c:pt idx="5">
                  <c:v>-7.3214285714285721</c:v>
                </c:pt>
                <c:pt idx="6">
                  <c:v>-6.4285714285714288</c:v>
                </c:pt>
                <c:pt idx="7">
                  <c:v>-5.5357142857142856</c:v>
                </c:pt>
                <c:pt idx="8">
                  <c:v>-4.6428571428571423</c:v>
                </c:pt>
                <c:pt idx="9">
                  <c:v>-3.7499999999999996</c:v>
                </c:pt>
                <c:pt idx="10">
                  <c:v>-2.8571428571428568</c:v>
                </c:pt>
                <c:pt idx="11">
                  <c:v>-1.964285714285714</c:v>
                </c:pt>
                <c:pt idx="12">
                  <c:v>-1.0714285714285712</c:v>
                </c:pt>
                <c:pt idx="13">
                  <c:v>-0.17857142857142827</c:v>
                </c:pt>
                <c:pt idx="14">
                  <c:v>0.71428571428571463</c:v>
                </c:pt>
                <c:pt idx="15">
                  <c:v>1.6071428571428577</c:v>
                </c:pt>
                <c:pt idx="16">
                  <c:v>2.5000000000000004</c:v>
                </c:pt>
                <c:pt idx="17">
                  <c:v>3.3928571428571432</c:v>
                </c:pt>
                <c:pt idx="18">
                  <c:v>4.2857142857142865</c:v>
                </c:pt>
                <c:pt idx="19">
                  <c:v>5.1785714285714297</c:v>
                </c:pt>
                <c:pt idx="20">
                  <c:v>6.071428571428573</c:v>
                </c:pt>
                <c:pt idx="21">
                  <c:v>6.9642857142857162</c:v>
                </c:pt>
                <c:pt idx="22">
                  <c:v>7.8571428571428594</c:v>
                </c:pt>
                <c:pt idx="23">
                  <c:v>8.7500000000000018</c:v>
                </c:pt>
                <c:pt idx="24">
                  <c:v>9.6428571428571441</c:v>
                </c:pt>
                <c:pt idx="25">
                  <c:v>10.535714285714286</c:v>
                </c:pt>
                <c:pt idx="26">
                  <c:v>11.428571428571429</c:v>
                </c:pt>
                <c:pt idx="27">
                  <c:v>12.321428571428571</c:v>
                </c:pt>
                <c:pt idx="28">
                  <c:v>13.214285714285714</c:v>
                </c:pt>
                <c:pt idx="29">
                  <c:v>14.107142857142856</c:v>
                </c:pt>
                <c:pt idx="30">
                  <c:v>15</c:v>
                </c:pt>
              </c:numCache>
            </c:numRef>
          </c:val>
          <c:smooth val="0"/>
          <c:extLst>
            <c:ext xmlns:c16="http://schemas.microsoft.com/office/drawing/2014/chart" uri="{C3380CC4-5D6E-409C-BE32-E72D297353CC}">
              <c16:uniqueId val="{00000010-DF35-4822-A162-82CDAAFB1E69}"/>
            </c:ext>
          </c:extLst>
        </c:ser>
        <c:ser>
          <c:idx val="5"/>
          <c:order val="4"/>
          <c:tx>
            <c:v>4-60 min (2)</c:v>
          </c:tx>
          <c:spPr>
            <a:ln w="15875" cap="rnd">
              <a:solidFill>
                <a:schemeClr val="accent2"/>
              </a:solidFill>
              <a:round/>
            </a:ln>
            <a:effectLst/>
          </c:spPr>
          <c:marker>
            <c:symbol val="circle"/>
            <c:size val="4"/>
            <c:spPr>
              <a:solidFill>
                <a:schemeClr val="accent2"/>
              </a:solidFill>
              <a:ln w="9525">
                <a:solidFill>
                  <a:schemeClr val="accent2"/>
                </a:solidFill>
              </a:ln>
              <a:effectLst/>
            </c:spPr>
          </c:marker>
          <c:dPt>
            <c:idx val="2"/>
            <c:marker>
              <c:symbol val="circle"/>
              <c:size val="4"/>
              <c:spPr>
                <a:solidFill>
                  <a:srgbClr val="FF0000"/>
                </a:solidFill>
                <a:ln w="9525">
                  <a:solidFill>
                    <a:schemeClr val="accent2"/>
                  </a:solidFill>
                </a:ln>
                <a:effectLst/>
              </c:spPr>
            </c:marker>
            <c:bubble3D val="0"/>
            <c:spPr>
              <a:ln w="15875" cap="rnd">
                <a:solidFill>
                  <a:schemeClr val="accent2"/>
                </a:solidFill>
                <a:round/>
              </a:ln>
              <a:effectLst/>
            </c:spPr>
            <c:extLst>
              <c:ext xmlns:c16="http://schemas.microsoft.com/office/drawing/2014/chart" uri="{C3380CC4-5D6E-409C-BE32-E72D297353CC}">
                <c16:uniqueId val="{00000012-DF35-4822-A162-82CDAAFB1E69}"/>
              </c:ext>
            </c:extLst>
          </c:dPt>
          <c:dPt>
            <c:idx val="30"/>
            <c:marker>
              <c:symbol val="circle"/>
              <c:size val="4"/>
              <c:spPr>
                <a:solidFill>
                  <a:srgbClr val="FF0000"/>
                </a:solidFill>
                <a:ln w="9525">
                  <a:solidFill>
                    <a:schemeClr val="accent2"/>
                  </a:solidFill>
                </a:ln>
                <a:effectLst/>
              </c:spPr>
            </c:marker>
            <c:bubble3D val="0"/>
            <c:extLst>
              <c:ext xmlns:c16="http://schemas.microsoft.com/office/drawing/2014/chart" uri="{C3380CC4-5D6E-409C-BE32-E72D297353CC}">
                <c16:uniqueId val="{00000013-DF35-4822-A162-82CDAAFB1E69}"/>
              </c:ext>
            </c:extLst>
          </c:dPt>
          <c:cat>
            <c:numRef>
              <c:f>Vertragingslijnen!$G$5:$G$35</c:f>
              <c:numCache>
                <c:formatCode>0</c:formatCode>
                <c:ptCount val="31"/>
                <c:pt idx="0" formatCode="General">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numCache>
            </c:numRef>
          </c:cat>
          <c:val>
            <c:numRef>
              <c:f>Vertragingslijnen!$M$5:$M$35</c:f>
              <c:numCache>
                <c:formatCode>General</c:formatCode>
                <c:ptCount val="31"/>
                <c:pt idx="2" formatCode="0.0">
                  <c:v>-10</c:v>
                </c:pt>
                <c:pt idx="3" formatCode="0.0">
                  <c:v>-9.4642857142857135</c:v>
                </c:pt>
                <c:pt idx="4" formatCode="0.0">
                  <c:v>-8.928571428571427</c:v>
                </c:pt>
                <c:pt idx="5" formatCode="0.0">
                  <c:v>-8.3928571428571406</c:v>
                </c:pt>
                <c:pt idx="6" formatCode="0.0">
                  <c:v>-7.857142857142855</c:v>
                </c:pt>
                <c:pt idx="7" formatCode="0.0">
                  <c:v>-7.3214285714285694</c:v>
                </c:pt>
                <c:pt idx="8" formatCode="0.0">
                  <c:v>-6.7857142857142838</c:v>
                </c:pt>
                <c:pt idx="9" formatCode="0.0">
                  <c:v>-6.2499999999999982</c:v>
                </c:pt>
                <c:pt idx="10" formatCode="0.0">
                  <c:v>-5.7142857142857126</c:v>
                </c:pt>
                <c:pt idx="11" formatCode="0.0">
                  <c:v>-5.178571428571427</c:v>
                </c:pt>
                <c:pt idx="12" formatCode="0.0">
                  <c:v>-4.6428571428571415</c:v>
                </c:pt>
                <c:pt idx="13" formatCode="0.0">
                  <c:v>-4.1071428571428559</c:v>
                </c:pt>
                <c:pt idx="14" formatCode="0.0">
                  <c:v>-3.5714285714285703</c:v>
                </c:pt>
                <c:pt idx="15" formatCode="0.0">
                  <c:v>-3.0357142857142847</c:v>
                </c:pt>
                <c:pt idx="16" formatCode="0.0">
                  <c:v>-2.4999999999999991</c:v>
                </c:pt>
                <c:pt idx="17" formatCode="0.0">
                  <c:v>-1.9642857142857135</c:v>
                </c:pt>
                <c:pt idx="18" formatCode="0.0">
                  <c:v>-1.4285714285714279</c:v>
                </c:pt>
                <c:pt idx="19" formatCode="0.0">
                  <c:v>-0.89285714285714224</c:v>
                </c:pt>
                <c:pt idx="20" formatCode="0.0">
                  <c:v>-0.35714285714285654</c:v>
                </c:pt>
                <c:pt idx="21" formatCode="0.0">
                  <c:v>0.17857142857142916</c:v>
                </c:pt>
                <c:pt idx="22" formatCode="0.0">
                  <c:v>0.71428571428571486</c:v>
                </c:pt>
                <c:pt idx="23" formatCode="0.0">
                  <c:v>1.2500000000000004</c:v>
                </c:pt>
                <c:pt idx="24" formatCode="0.0">
                  <c:v>1.785714285714286</c:v>
                </c:pt>
                <c:pt idx="25" formatCode="0.0">
                  <c:v>2.3214285714285716</c:v>
                </c:pt>
                <c:pt idx="26" formatCode="0.0">
                  <c:v>2.8571428571428572</c:v>
                </c:pt>
                <c:pt idx="27" formatCode="0.0">
                  <c:v>3.3928571428571428</c:v>
                </c:pt>
                <c:pt idx="28" formatCode="0.0">
                  <c:v>3.9285714285714284</c:v>
                </c:pt>
                <c:pt idx="29" formatCode="0.0">
                  <c:v>4.4642857142857144</c:v>
                </c:pt>
                <c:pt idx="30" formatCode="0.0">
                  <c:v>5</c:v>
                </c:pt>
              </c:numCache>
            </c:numRef>
          </c:val>
          <c:smooth val="0"/>
          <c:extLst>
            <c:ext xmlns:c16="http://schemas.microsoft.com/office/drawing/2014/chart" uri="{C3380CC4-5D6E-409C-BE32-E72D297353CC}">
              <c16:uniqueId val="{00000014-DF35-4822-A162-82CDAAFB1E69}"/>
            </c:ext>
          </c:extLst>
        </c:ser>
        <c:ser>
          <c:idx val="4"/>
          <c:order val="5"/>
          <c:tx>
            <c:v>8-60 min</c:v>
          </c:tx>
          <c:spPr>
            <a:ln w="15875" cap="rnd">
              <a:solidFill>
                <a:srgbClr val="C00000"/>
              </a:solidFill>
              <a:round/>
            </a:ln>
            <a:effectLst/>
          </c:spPr>
          <c:marker>
            <c:symbol val="circle"/>
            <c:size val="4"/>
            <c:spPr>
              <a:solidFill>
                <a:srgbClr val="C00000"/>
              </a:solidFill>
              <a:ln w="9525">
                <a:solidFill>
                  <a:srgbClr val="C00000"/>
                </a:solidFill>
              </a:ln>
              <a:effectLst/>
            </c:spPr>
          </c:marker>
          <c:dPt>
            <c:idx val="4"/>
            <c:marker>
              <c:symbol val="circle"/>
              <c:size val="4"/>
              <c:spPr>
                <a:solidFill>
                  <a:srgbClr val="FF0000"/>
                </a:solidFill>
                <a:ln w="9525">
                  <a:noFill/>
                </a:ln>
                <a:effectLst/>
              </c:spPr>
            </c:marker>
            <c:bubble3D val="0"/>
            <c:extLst>
              <c:ext xmlns:c16="http://schemas.microsoft.com/office/drawing/2014/chart" uri="{C3380CC4-5D6E-409C-BE32-E72D297353CC}">
                <c16:uniqueId val="{00000015-DF35-4822-A162-82CDAAFB1E69}"/>
              </c:ext>
            </c:extLst>
          </c:dPt>
          <c:dPt>
            <c:idx val="30"/>
            <c:marker>
              <c:symbol val="circle"/>
              <c:size val="4"/>
              <c:spPr>
                <a:solidFill>
                  <a:srgbClr val="FF0000"/>
                </a:solidFill>
                <a:ln w="9525">
                  <a:noFill/>
                </a:ln>
                <a:effectLst/>
              </c:spPr>
            </c:marker>
            <c:bubble3D val="0"/>
            <c:extLst>
              <c:ext xmlns:c16="http://schemas.microsoft.com/office/drawing/2014/chart" uri="{C3380CC4-5D6E-409C-BE32-E72D297353CC}">
                <c16:uniqueId val="{00000016-DF35-4822-A162-82CDAAFB1E69}"/>
              </c:ext>
            </c:extLst>
          </c:dPt>
          <c:cat>
            <c:numRef>
              <c:f>Vertragingslijnen!$G$5:$G$35</c:f>
              <c:numCache>
                <c:formatCode>0</c:formatCode>
                <c:ptCount val="31"/>
                <c:pt idx="0" formatCode="General">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numCache>
            </c:numRef>
          </c:cat>
          <c:val>
            <c:numRef>
              <c:f>Vertragingslijnen!$L$5:$L$35</c:f>
              <c:numCache>
                <c:formatCode>0.0</c:formatCode>
                <c:ptCount val="31"/>
                <c:pt idx="4">
                  <c:v>-10</c:v>
                </c:pt>
                <c:pt idx="5">
                  <c:v>-9.0384615384615383</c:v>
                </c:pt>
                <c:pt idx="6">
                  <c:v>-8.0769230769230766</c:v>
                </c:pt>
                <c:pt idx="7">
                  <c:v>-7.115384615384615</c:v>
                </c:pt>
                <c:pt idx="8">
                  <c:v>-6.1538461538461533</c:v>
                </c:pt>
                <c:pt idx="9">
                  <c:v>-5.1923076923076916</c:v>
                </c:pt>
                <c:pt idx="10">
                  <c:v>-4.2307692307692299</c:v>
                </c:pt>
                <c:pt idx="11">
                  <c:v>-3.2692307692307683</c:v>
                </c:pt>
                <c:pt idx="12">
                  <c:v>-2.3076923076923066</c:v>
                </c:pt>
                <c:pt idx="13">
                  <c:v>-1.3461538461538449</c:v>
                </c:pt>
                <c:pt idx="14">
                  <c:v>-0.38461538461538336</c:v>
                </c:pt>
                <c:pt idx="15">
                  <c:v>0.5769230769230782</c:v>
                </c:pt>
                <c:pt idx="16">
                  <c:v>1.5384615384615397</c:v>
                </c:pt>
                <c:pt idx="17">
                  <c:v>2.5000000000000013</c:v>
                </c:pt>
                <c:pt idx="18">
                  <c:v>3.461538461538463</c:v>
                </c:pt>
                <c:pt idx="19">
                  <c:v>4.4230769230769242</c:v>
                </c:pt>
                <c:pt idx="20">
                  <c:v>5.3846153846153859</c:v>
                </c:pt>
                <c:pt idx="21">
                  <c:v>6.3461538461538476</c:v>
                </c:pt>
                <c:pt idx="22">
                  <c:v>7.3076923076923093</c:v>
                </c:pt>
                <c:pt idx="23">
                  <c:v>8.2692307692307701</c:v>
                </c:pt>
                <c:pt idx="24">
                  <c:v>9.2307692307692317</c:v>
                </c:pt>
                <c:pt idx="25">
                  <c:v>10.192307692307693</c:v>
                </c:pt>
                <c:pt idx="26">
                  <c:v>11.153846153846155</c:v>
                </c:pt>
                <c:pt idx="27">
                  <c:v>12.115384615384617</c:v>
                </c:pt>
                <c:pt idx="28">
                  <c:v>13.076923076923078</c:v>
                </c:pt>
                <c:pt idx="29">
                  <c:v>14.03846153846154</c:v>
                </c:pt>
                <c:pt idx="30">
                  <c:v>15</c:v>
                </c:pt>
              </c:numCache>
            </c:numRef>
          </c:val>
          <c:smooth val="0"/>
          <c:extLst>
            <c:ext xmlns:c16="http://schemas.microsoft.com/office/drawing/2014/chart" uri="{C3380CC4-5D6E-409C-BE32-E72D297353CC}">
              <c16:uniqueId val="{00000017-DF35-4822-A162-82CDAAFB1E69}"/>
            </c:ext>
          </c:extLst>
        </c:ser>
        <c:ser>
          <c:idx val="6"/>
          <c:order val="6"/>
          <c:tx>
            <c:v>persoonlijk</c:v>
          </c:tx>
          <c:spPr>
            <a:ln w="28575" cap="rnd">
              <a:solidFill>
                <a:srgbClr val="FF0000"/>
              </a:solidFill>
              <a:prstDash val="sysDash"/>
              <a:round/>
            </a:ln>
            <a:effectLst/>
          </c:spPr>
          <c:marker>
            <c:symbol val="circle"/>
            <c:size val="4"/>
            <c:spPr>
              <a:noFill/>
              <a:ln w="9525">
                <a:noFill/>
              </a:ln>
              <a:effectLst/>
            </c:spPr>
          </c:marker>
          <c:cat>
            <c:numRef>
              <c:f>Vertragingslijnen!$G$5:$G$35</c:f>
              <c:numCache>
                <c:formatCode>0</c:formatCode>
                <c:ptCount val="31"/>
                <c:pt idx="0" formatCode="General">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numCache>
            </c:numRef>
          </c:cat>
          <c:val>
            <c:numRef>
              <c:f>Vertragingslijnen!$N$5:$N$35</c:f>
              <c:numCache>
                <c:formatCode>0.0</c:formatCode>
                <c:ptCount val="31"/>
                <c:pt idx="0">
                  <c:v>-17.608695652173914</c:v>
                </c:pt>
                <c:pt idx="1">
                  <c:v>-16.521739130434785</c:v>
                </c:pt>
                <c:pt idx="2">
                  <c:v>-15.434782608695654</c:v>
                </c:pt>
                <c:pt idx="3">
                  <c:v>-14.347826086956523</c:v>
                </c:pt>
                <c:pt idx="4">
                  <c:v>-13.260869565217392</c:v>
                </c:pt>
                <c:pt idx="5">
                  <c:v>-12.173913043478262</c:v>
                </c:pt>
                <c:pt idx="6">
                  <c:v>-11.086956521739131</c:v>
                </c:pt>
                <c:pt idx="7">
                  <c:v>-10</c:v>
                </c:pt>
                <c:pt idx="8">
                  <c:v>-8.9130434782608692</c:v>
                </c:pt>
                <c:pt idx="9">
                  <c:v>-7.8260869565217384</c:v>
                </c:pt>
                <c:pt idx="10">
                  <c:v>-6.7391304347826075</c:v>
                </c:pt>
                <c:pt idx="11">
                  <c:v>-5.6521739130434767</c:v>
                </c:pt>
                <c:pt idx="12">
                  <c:v>-4.5652173913043459</c:v>
                </c:pt>
                <c:pt idx="13">
                  <c:v>-3.4782608695652155</c:v>
                </c:pt>
                <c:pt idx="14">
                  <c:v>-2.3913043478260851</c:v>
                </c:pt>
                <c:pt idx="15">
                  <c:v>-1.3043478260869548</c:v>
                </c:pt>
                <c:pt idx="16">
                  <c:v>-0.21739130434782439</c:v>
                </c:pt>
                <c:pt idx="17">
                  <c:v>0.86956521739130599</c:v>
                </c:pt>
                <c:pt idx="18">
                  <c:v>1.9565217391304364</c:v>
                </c:pt>
                <c:pt idx="19">
                  <c:v>3.0434782608695667</c:v>
                </c:pt>
                <c:pt idx="20">
                  <c:v>4.1304347826086971</c:v>
                </c:pt>
                <c:pt idx="21">
                  <c:v>5.2173913043478279</c:v>
                </c:pt>
                <c:pt idx="22">
                  <c:v>6.3043478260869588</c:v>
                </c:pt>
                <c:pt idx="23">
                  <c:v>7.3913043478260896</c:v>
                </c:pt>
                <c:pt idx="24">
                  <c:v>8.4782608695652204</c:v>
                </c:pt>
                <c:pt idx="25">
                  <c:v>9.5652173913043512</c:v>
                </c:pt>
                <c:pt idx="26">
                  <c:v>10.652173913043482</c:v>
                </c:pt>
                <c:pt idx="27">
                  <c:v>11.739130434782613</c:v>
                </c:pt>
                <c:pt idx="28">
                  <c:v>12.826086956521744</c:v>
                </c:pt>
                <c:pt idx="29">
                  <c:v>13.913043478260875</c:v>
                </c:pt>
                <c:pt idx="30">
                  <c:v>15.000000000000005</c:v>
                </c:pt>
              </c:numCache>
            </c:numRef>
          </c:val>
          <c:smooth val="0"/>
          <c:extLst>
            <c:ext xmlns:c16="http://schemas.microsoft.com/office/drawing/2014/chart" uri="{C3380CC4-5D6E-409C-BE32-E72D297353CC}">
              <c16:uniqueId val="{00000018-DF35-4822-A162-82CDAAFB1E69}"/>
            </c:ext>
          </c:extLst>
        </c:ser>
        <c:dLbls>
          <c:showLegendKey val="0"/>
          <c:showVal val="0"/>
          <c:showCatName val="0"/>
          <c:showSerName val="0"/>
          <c:showPercent val="0"/>
          <c:showBubbleSize val="0"/>
        </c:dLbls>
        <c:marker val="1"/>
        <c:smooth val="0"/>
        <c:axId val="634635400"/>
        <c:axId val="634634744"/>
        <c:extLst/>
      </c:lineChart>
      <c:catAx>
        <c:axId val="63463540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r>
                  <a:rPr lang="en-US" sz="1200" b="0">
                    <a:solidFill>
                      <a:sysClr val="windowText" lastClr="000000"/>
                    </a:solidFill>
                    <a:latin typeface="+mn-lt"/>
                    <a:cs typeface="Arial" panose="020B0604020202020204" pitchFamily="34" charset="0"/>
                  </a:rPr>
                  <a:t>minuten wachttijd bij </a:t>
                </a:r>
                <a:r>
                  <a:rPr lang="en-US" sz="1200" b="1">
                    <a:solidFill>
                      <a:sysClr val="windowText" lastClr="000000"/>
                    </a:solidFill>
                    <a:latin typeface="+mn-lt"/>
                    <a:cs typeface="Arial" panose="020B0604020202020204" pitchFamily="34" charset="0"/>
                  </a:rPr>
                  <a:t>HP030=0</a:t>
                </a:r>
              </a:p>
            </c:rich>
          </c:tx>
          <c:layout>
            <c:manualLayout>
              <c:xMode val="edge"/>
              <c:yMode val="edge"/>
              <c:x val="0.39219135139242045"/>
              <c:y val="0.8792848166706432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endParaRPr lang="nl-NL"/>
            </a:p>
          </c:txPr>
        </c:title>
        <c:numFmt formatCode="#0\'" sourceLinked="0"/>
        <c:majorTickMark val="cross"/>
        <c:minorTickMark val="cross"/>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Arial" panose="020B0604020202020204" pitchFamily="34" charset="0"/>
              </a:defRPr>
            </a:pPr>
            <a:endParaRPr lang="nl-NL"/>
          </a:p>
        </c:txPr>
        <c:crossAx val="634634744"/>
        <c:crossesAt val="0"/>
        <c:auto val="1"/>
        <c:lblAlgn val="ctr"/>
        <c:lblOffset val="100"/>
        <c:tickLblSkip val="1"/>
        <c:noMultiLvlLbl val="0"/>
      </c:catAx>
      <c:valAx>
        <c:axId val="634634744"/>
        <c:scaling>
          <c:orientation val="minMax"/>
          <c:max val="17"/>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r>
                  <a:rPr lang="en-US" sz="1200">
                    <a:solidFill>
                      <a:sysClr val="windowText" lastClr="000000"/>
                    </a:solidFill>
                    <a:latin typeface="+mn-lt"/>
                    <a:cs typeface="Arial" panose="020B0604020202020204" pitchFamily="34" charset="0"/>
                  </a:rPr>
                  <a:t>buitentemperatuur in ⁰C</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endParaRPr lang="nl-NL"/>
            </a:p>
          </c:txPr>
        </c:title>
        <c:numFmt formatCode="0_ ;[Blue]\-0\ "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Arial" panose="020B0604020202020204" pitchFamily="34" charset="0"/>
              </a:defRPr>
            </a:pPr>
            <a:endParaRPr lang="nl-NL"/>
          </a:p>
        </c:txPr>
        <c:crossAx val="634635400"/>
        <c:crossesAt val="1"/>
        <c:crossBetween val="between"/>
        <c:majorUnit val="1"/>
        <c:minorUnit val="1"/>
      </c:valAx>
      <c:spPr>
        <a:solidFill>
          <a:schemeClr val="bg1">
            <a:lumMod val="95000"/>
          </a:schemeClr>
        </a:solidFill>
        <a:ln>
          <a:noFill/>
        </a:ln>
        <a:effectLst/>
      </c:spPr>
    </c:plotArea>
    <c:legend>
      <c:legendPos val="b"/>
      <c:legendEntry>
        <c:idx val="6"/>
        <c:txPr>
          <a:bodyPr rot="0" spcFirstLastPara="1" vertOverflow="ellipsis" vert="horz" wrap="square" anchor="ctr" anchorCtr="1"/>
          <a:lstStyle/>
          <a:p>
            <a:pPr>
              <a:defRPr sz="1200" b="0" i="0" u="none" strike="noStrike" kern="1200" baseline="0">
                <a:solidFill>
                  <a:srgbClr val="FF0000"/>
                </a:solidFill>
                <a:latin typeface="+mn-lt"/>
                <a:ea typeface="+mn-ea"/>
                <a:cs typeface="Arial" panose="020B0604020202020204" pitchFamily="34" charset="0"/>
              </a:defRPr>
            </a:pPr>
            <a:endParaRPr lang="nl-NL"/>
          </a:p>
        </c:txPr>
      </c:legendEntry>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Vertragingslijnen!$H$2</c:f>
          <c:strCache>
            <c:ptCount val="1"/>
            <c:pt idx="0">
              <c:v>Vertragingslijnen voor inzet combi-ketel</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title>
    <c:autoTitleDeleted val="0"/>
    <c:plotArea>
      <c:layout>
        <c:manualLayout>
          <c:layoutTarget val="inner"/>
          <c:xMode val="edge"/>
          <c:yMode val="edge"/>
          <c:x val="5.7423292141734888E-2"/>
          <c:y val="0.12446035154696572"/>
          <c:w val="0.90703583416191114"/>
          <c:h val="0.7427051618547682"/>
        </c:manualLayout>
      </c:layout>
      <c:lineChart>
        <c:grouping val="standard"/>
        <c:varyColors val="0"/>
        <c:ser>
          <c:idx val="3"/>
          <c:order val="0"/>
          <c:tx>
            <c:v>4-26 min</c:v>
          </c:tx>
          <c:spPr>
            <a:ln w="15875" cap="rnd">
              <a:solidFill>
                <a:srgbClr val="7030A0"/>
              </a:solidFill>
              <a:round/>
            </a:ln>
            <a:effectLst/>
          </c:spPr>
          <c:marker>
            <c:symbol val="circle"/>
            <c:size val="4"/>
            <c:spPr>
              <a:solidFill>
                <a:srgbClr val="7030A0"/>
              </a:solidFill>
              <a:ln w="9525">
                <a:noFill/>
              </a:ln>
              <a:effectLst/>
            </c:spPr>
          </c:marker>
          <c:dPt>
            <c:idx val="2"/>
            <c:marker>
              <c:symbol val="circle"/>
              <c:size val="4"/>
              <c:spPr>
                <a:solidFill>
                  <a:srgbClr val="FF0000"/>
                </a:solidFill>
                <a:ln w="9525">
                  <a:noFill/>
                </a:ln>
                <a:effectLst/>
              </c:spPr>
            </c:marker>
            <c:bubble3D val="0"/>
            <c:extLst>
              <c:ext xmlns:c16="http://schemas.microsoft.com/office/drawing/2014/chart" uri="{C3380CC4-5D6E-409C-BE32-E72D297353CC}">
                <c16:uniqueId val="{00000009-B050-48F3-BFC9-AB91F6F1C5C5}"/>
              </c:ext>
            </c:extLst>
          </c:dPt>
          <c:dPt>
            <c:idx val="12"/>
            <c:marker>
              <c:symbol val="circle"/>
              <c:size val="4"/>
              <c:spPr>
                <a:solidFill>
                  <a:srgbClr val="7030A0"/>
                </a:solidFill>
                <a:ln w="9525">
                  <a:noFill/>
                </a:ln>
                <a:effectLst/>
              </c:spPr>
            </c:marker>
            <c:bubble3D val="0"/>
            <c:extLst>
              <c:ext xmlns:c16="http://schemas.microsoft.com/office/drawing/2014/chart" uri="{C3380CC4-5D6E-409C-BE32-E72D297353CC}">
                <c16:uniqueId val="{00000008-B050-48F3-BFC9-AB91F6F1C5C5}"/>
              </c:ext>
            </c:extLst>
          </c:dPt>
          <c:dPt>
            <c:idx val="13"/>
            <c:marker>
              <c:symbol val="circle"/>
              <c:size val="4"/>
              <c:spPr>
                <a:solidFill>
                  <a:srgbClr val="FF0000"/>
                </a:solidFill>
                <a:ln w="9525">
                  <a:noFill/>
                </a:ln>
                <a:effectLst/>
              </c:spPr>
            </c:marker>
            <c:bubble3D val="0"/>
            <c:extLst>
              <c:ext xmlns:c16="http://schemas.microsoft.com/office/drawing/2014/chart" uri="{C3380CC4-5D6E-409C-BE32-E72D297353CC}">
                <c16:uniqueId val="{0000000A-3800-460B-BDD9-3CC41DA1E0D7}"/>
              </c:ext>
            </c:extLst>
          </c:dPt>
          <c:cat>
            <c:numRef>
              <c:f>Vertragingslijnen!$G$5:$G$35</c:f>
              <c:numCache>
                <c:formatCode>0</c:formatCode>
                <c:ptCount val="31"/>
                <c:pt idx="0" formatCode="General">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numCache>
            </c:numRef>
          </c:cat>
          <c:val>
            <c:numRef>
              <c:f>Vertragingslijnen!$K$5:$K$35</c:f>
              <c:numCache>
                <c:formatCode>0.0</c:formatCode>
                <c:ptCount val="31"/>
                <c:pt idx="2">
                  <c:v>-10</c:v>
                </c:pt>
                <c:pt idx="3">
                  <c:v>-7.7272727272727266</c:v>
                </c:pt>
                <c:pt idx="4">
                  <c:v>-5.4545454545454533</c:v>
                </c:pt>
                <c:pt idx="5">
                  <c:v>-3.1818181818181803</c:v>
                </c:pt>
                <c:pt idx="6">
                  <c:v>-0.9090909090909074</c:v>
                </c:pt>
                <c:pt idx="7">
                  <c:v>1.3636363636363655</c:v>
                </c:pt>
                <c:pt idx="8">
                  <c:v>3.6363636363636385</c:v>
                </c:pt>
                <c:pt idx="9">
                  <c:v>5.9090909090909118</c:v>
                </c:pt>
                <c:pt idx="10">
                  <c:v>8.1818181818181852</c:v>
                </c:pt>
                <c:pt idx="11">
                  <c:v>10.454545454545459</c:v>
                </c:pt>
                <c:pt idx="12">
                  <c:v>12.727272727272732</c:v>
                </c:pt>
                <c:pt idx="13">
                  <c:v>15</c:v>
                </c:pt>
              </c:numCache>
            </c:numRef>
          </c:val>
          <c:smooth val="0"/>
          <c:extLst>
            <c:ext xmlns:c16="http://schemas.microsoft.com/office/drawing/2014/chart" uri="{C3380CC4-5D6E-409C-BE32-E72D297353CC}">
              <c16:uniqueId val="{00000006-B050-48F3-BFC9-AB91F6F1C5C5}"/>
            </c:ext>
          </c:extLst>
        </c:ser>
        <c:ser>
          <c:idx val="1"/>
          <c:order val="1"/>
          <c:tx>
            <c:v>standaard 8-30 min</c:v>
          </c:tx>
          <c:spPr>
            <a:ln w="15875" cap="rnd">
              <a:solidFill>
                <a:srgbClr val="00B050"/>
              </a:solidFill>
              <a:round/>
            </a:ln>
            <a:effectLst/>
          </c:spPr>
          <c:marker>
            <c:symbol val="circle"/>
            <c:size val="4"/>
            <c:spPr>
              <a:solidFill>
                <a:srgbClr val="00B050"/>
              </a:solidFill>
              <a:ln w="9525">
                <a:noFill/>
              </a:ln>
              <a:effectLst/>
            </c:spPr>
          </c:marker>
          <c:dPt>
            <c:idx val="4"/>
            <c:marker>
              <c:symbol val="circle"/>
              <c:size val="4"/>
              <c:spPr>
                <a:solidFill>
                  <a:srgbClr val="FF0000"/>
                </a:solidFill>
                <a:ln w="9525">
                  <a:noFill/>
                </a:ln>
                <a:effectLst/>
              </c:spPr>
            </c:marker>
            <c:bubble3D val="0"/>
            <c:extLst>
              <c:ext xmlns:c16="http://schemas.microsoft.com/office/drawing/2014/chart" uri="{C3380CC4-5D6E-409C-BE32-E72D297353CC}">
                <c16:uniqueId val="{00000001-4286-499A-8371-A631A349A5A9}"/>
              </c:ext>
            </c:extLst>
          </c:dPt>
          <c:dPt>
            <c:idx val="15"/>
            <c:marker>
              <c:symbol val="circle"/>
              <c:size val="4"/>
              <c:spPr>
                <a:solidFill>
                  <a:srgbClr val="FF0000"/>
                </a:solidFill>
                <a:ln w="9525">
                  <a:noFill/>
                </a:ln>
                <a:effectLst/>
              </c:spPr>
            </c:marker>
            <c:bubble3D val="0"/>
            <c:extLst>
              <c:ext xmlns:c16="http://schemas.microsoft.com/office/drawing/2014/chart" uri="{C3380CC4-5D6E-409C-BE32-E72D297353CC}">
                <c16:uniqueId val="{00000002-4286-499A-8371-A631A349A5A9}"/>
              </c:ext>
            </c:extLst>
          </c:dPt>
          <c:dPt>
            <c:idx val="30"/>
            <c:marker>
              <c:symbol val="circle"/>
              <c:size val="4"/>
              <c:spPr>
                <a:solidFill>
                  <a:schemeClr val="accent2"/>
                </a:solidFill>
                <a:ln w="9525">
                  <a:noFill/>
                </a:ln>
                <a:effectLst/>
              </c:spPr>
            </c:marker>
            <c:bubble3D val="0"/>
            <c:spPr>
              <a:ln w="15875" cap="rnd">
                <a:solidFill>
                  <a:schemeClr val="accent2"/>
                </a:solidFill>
                <a:round/>
              </a:ln>
              <a:effectLst/>
            </c:spPr>
            <c:extLst>
              <c:ext xmlns:c16="http://schemas.microsoft.com/office/drawing/2014/chart" uri="{C3380CC4-5D6E-409C-BE32-E72D297353CC}">
                <c16:uniqueId val="{00000003-7F03-4723-9DE0-C471F5427E0B}"/>
              </c:ext>
            </c:extLst>
          </c:dPt>
          <c:cat>
            <c:numRef>
              <c:f>Vertragingslijnen!$G$5:$G$35</c:f>
              <c:numCache>
                <c:formatCode>0</c:formatCode>
                <c:ptCount val="31"/>
                <c:pt idx="0" formatCode="General">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numCache>
            </c:numRef>
          </c:cat>
          <c:val>
            <c:numRef>
              <c:f>Vertragingslijnen!$H$5:$H$35</c:f>
              <c:numCache>
                <c:formatCode>General</c:formatCode>
                <c:ptCount val="31"/>
                <c:pt idx="4" formatCode="0.0">
                  <c:v>-10</c:v>
                </c:pt>
                <c:pt idx="5" formatCode="0.0">
                  <c:v>-7.7272727272727266</c:v>
                </c:pt>
                <c:pt idx="6" formatCode="0.0">
                  <c:v>-5.4545454545454533</c:v>
                </c:pt>
                <c:pt idx="7" formatCode="0.0">
                  <c:v>-3.1818181818181803</c:v>
                </c:pt>
                <c:pt idx="8" formatCode="0.0">
                  <c:v>-0.9090909090909074</c:v>
                </c:pt>
                <c:pt idx="9" formatCode="0.0">
                  <c:v>1.3636363636363655</c:v>
                </c:pt>
                <c:pt idx="10" formatCode="0.0">
                  <c:v>3.6363636363636385</c:v>
                </c:pt>
                <c:pt idx="11" formatCode="0.0">
                  <c:v>5.9090909090909118</c:v>
                </c:pt>
                <c:pt idx="12" formatCode="0.0">
                  <c:v>8.1818181818181852</c:v>
                </c:pt>
                <c:pt idx="13" formatCode="0.0">
                  <c:v>10.454545454545459</c:v>
                </c:pt>
                <c:pt idx="14" formatCode="0.0">
                  <c:v>12.727272727272732</c:v>
                </c:pt>
                <c:pt idx="15" formatCode="0.0">
                  <c:v>15</c:v>
                </c:pt>
              </c:numCache>
            </c:numRef>
          </c:val>
          <c:smooth val="0"/>
          <c:extLst>
            <c:ext xmlns:c16="http://schemas.microsoft.com/office/drawing/2014/chart" uri="{C3380CC4-5D6E-409C-BE32-E72D297353CC}">
              <c16:uniqueId val="{00000000-4286-499A-8371-A631A349A5A9}"/>
            </c:ext>
          </c:extLst>
        </c:ser>
        <c:ser>
          <c:idx val="0"/>
          <c:order val="2"/>
          <c:tx>
            <c:v>8-44 min</c:v>
          </c:tx>
          <c:spPr>
            <a:ln w="15875" cap="rnd">
              <a:solidFill>
                <a:srgbClr val="FFC000"/>
              </a:solidFill>
              <a:round/>
            </a:ln>
            <a:effectLst/>
          </c:spPr>
          <c:marker>
            <c:symbol val="circle"/>
            <c:size val="4"/>
            <c:spPr>
              <a:solidFill>
                <a:srgbClr val="FFC000"/>
              </a:solidFill>
              <a:ln w="9525">
                <a:noFill/>
              </a:ln>
              <a:effectLst/>
            </c:spPr>
          </c:marker>
          <c:dPt>
            <c:idx val="2"/>
            <c:marker>
              <c:symbol val="circle"/>
              <c:size val="4"/>
              <c:spPr>
                <a:solidFill>
                  <a:srgbClr val="FFC000"/>
                </a:solidFill>
                <a:ln w="9525">
                  <a:noFill/>
                </a:ln>
                <a:effectLst/>
              </c:spPr>
            </c:marker>
            <c:bubble3D val="0"/>
            <c:extLst>
              <c:ext xmlns:c16="http://schemas.microsoft.com/office/drawing/2014/chart" uri="{C3380CC4-5D6E-409C-BE32-E72D297353CC}">
                <c16:uniqueId val="{00000005-4286-499A-8371-A631A349A5A9}"/>
              </c:ext>
            </c:extLst>
          </c:dPt>
          <c:dPt>
            <c:idx val="4"/>
            <c:marker>
              <c:symbol val="circle"/>
              <c:size val="4"/>
              <c:spPr>
                <a:solidFill>
                  <a:srgbClr val="FF0000"/>
                </a:solidFill>
                <a:ln w="9525">
                  <a:noFill/>
                </a:ln>
                <a:effectLst/>
              </c:spPr>
            </c:marker>
            <c:bubble3D val="0"/>
            <c:extLst>
              <c:ext xmlns:c16="http://schemas.microsoft.com/office/drawing/2014/chart" uri="{C3380CC4-5D6E-409C-BE32-E72D297353CC}">
                <c16:uniqueId val="{00000008-3800-460B-BDD9-3CC41DA1E0D7}"/>
              </c:ext>
            </c:extLst>
          </c:dPt>
          <c:dPt>
            <c:idx val="15"/>
            <c:marker>
              <c:symbol val="circle"/>
              <c:size val="4"/>
              <c:spPr>
                <a:solidFill>
                  <a:srgbClr val="FFC000"/>
                </a:solidFill>
                <a:ln w="9525">
                  <a:noFill/>
                </a:ln>
                <a:effectLst/>
              </c:spPr>
            </c:marker>
            <c:bubble3D val="0"/>
            <c:extLst>
              <c:ext xmlns:c16="http://schemas.microsoft.com/office/drawing/2014/chart" uri="{C3380CC4-5D6E-409C-BE32-E72D297353CC}">
                <c16:uniqueId val="{00000006-4286-499A-8371-A631A349A5A9}"/>
              </c:ext>
            </c:extLst>
          </c:dPt>
          <c:dPt>
            <c:idx val="22"/>
            <c:marker>
              <c:symbol val="circle"/>
              <c:size val="4"/>
              <c:spPr>
                <a:solidFill>
                  <a:srgbClr val="FF0000"/>
                </a:solidFill>
                <a:ln w="9525">
                  <a:noFill/>
                </a:ln>
                <a:effectLst/>
              </c:spPr>
            </c:marker>
            <c:bubble3D val="0"/>
            <c:extLst>
              <c:ext xmlns:c16="http://schemas.microsoft.com/office/drawing/2014/chart" uri="{C3380CC4-5D6E-409C-BE32-E72D297353CC}">
                <c16:uniqueId val="{00000009-3800-460B-BDD9-3CC41DA1E0D7}"/>
              </c:ext>
            </c:extLst>
          </c:dPt>
          <c:cat>
            <c:numRef>
              <c:f>Vertragingslijnen!$G$5:$G$35</c:f>
              <c:numCache>
                <c:formatCode>0</c:formatCode>
                <c:ptCount val="31"/>
                <c:pt idx="0" formatCode="General">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numCache>
            </c:numRef>
          </c:cat>
          <c:val>
            <c:numRef>
              <c:f>Vertragingslijnen!$I$5:$I$35</c:f>
              <c:numCache>
                <c:formatCode>0.0</c:formatCode>
                <c:ptCount val="31"/>
                <c:pt idx="4">
                  <c:v>-10</c:v>
                </c:pt>
                <c:pt idx="5">
                  <c:v>-8.6111111111111107</c:v>
                </c:pt>
                <c:pt idx="6">
                  <c:v>-7.2222222222222214</c:v>
                </c:pt>
                <c:pt idx="7">
                  <c:v>-5.8333333333333321</c:v>
                </c:pt>
                <c:pt idx="8">
                  <c:v>-4.4444444444444429</c:v>
                </c:pt>
                <c:pt idx="9">
                  <c:v>-3.055555555555554</c:v>
                </c:pt>
                <c:pt idx="10">
                  <c:v>-1.6666666666666652</c:v>
                </c:pt>
                <c:pt idx="11">
                  <c:v>-0.27777777777777635</c:v>
                </c:pt>
                <c:pt idx="12">
                  <c:v>1.1111111111111125</c:v>
                </c:pt>
                <c:pt idx="13">
                  <c:v>2.5000000000000013</c:v>
                </c:pt>
                <c:pt idx="14">
                  <c:v>3.8888888888888902</c:v>
                </c:pt>
                <c:pt idx="15">
                  <c:v>5.2777777777777786</c:v>
                </c:pt>
                <c:pt idx="16">
                  <c:v>6.6666666666666679</c:v>
                </c:pt>
                <c:pt idx="17">
                  <c:v>8.0555555555555571</c:v>
                </c:pt>
                <c:pt idx="18">
                  <c:v>9.4444444444444464</c:v>
                </c:pt>
                <c:pt idx="19">
                  <c:v>10.833333333333336</c:v>
                </c:pt>
                <c:pt idx="20">
                  <c:v>12.222222222222225</c:v>
                </c:pt>
                <c:pt idx="21">
                  <c:v>13.611111111111114</c:v>
                </c:pt>
                <c:pt idx="22">
                  <c:v>15</c:v>
                </c:pt>
              </c:numCache>
            </c:numRef>
          </c:val>
          <c:smooth val="0"/>
          <c:extLst>
            <c:ext xmlns:c16="http://schemas.microsoft.com/office/drawing/2014/chart" uri="{C3380CC4-5D6E-409C-BE32-E72D297353CC}">
              <c16:uniqueId val="{00000003-4286-499A-8371-A631A349A5A9}"/>
            </c:ext>
          </c:extLst>
        </c:ser>
        <c:ser>
          <c:idx val="2"/>
          <c:order val="3"/>
          <c:tx>
            <c:v>4-60 min</c:v>
          </c:tx>
          <c:spPr>
            <a:ln w="15875" cap="rnd">
              <a:solidFill>
                <a:schemeClr val="bg1">
                  <a:lumMod val="50000"/>
                </a:schemeClr>
              </a:solidFill>
              <a:round/>
            </a:ln>
            <a:effectLst/>
          </c:spPr>
          <c:marker>
            <c:symbol val="circle"/>
            <c:size val="4"/>
            <c:spPr>
              <a:solidFill>
                <a:schemeClr val="bg1">
                  <a:lumMod val="50000"/>
                </a:schemeClr>
              </a:solidFill>
              <a:ln w="9525">
                <a:noFill/>
              </a:ln>
              <a:effectLst/>
            </c:spPr>
          </c:marker>
          <c:dPt>
            <c:idx val="2"/>
            <c:marker>
              <c:symbol val="circle"/>
              <c:size val="4"/>
              <c:spPr>
                <a:solidFill>
                  <a:schemeClr val="bg1">
                    <a:lumMod val="50000"/>
                  </a:schemeClr>
                </a:solidFill>
                <a:ln w="9525">
                  <a:noFill/>
                </a:ln>
                <a:effectLst/>
              </c:spPr>
            </c:marker>
            <c:bubble3D val="0"/>
            <c:extLst>
              <c:ext xmlns:c16="http://schemas.microsoft.com/office/drawing/2014/chart" uri="{C3380CC4-5D6E-409C-BE32-E72D297353CC}">
                <c16:uniqueId val="{00000007-5F8B-4C06-84D0-7F0417895EE5}"/>
              </c:ext>
            </c:extLst>
          </c:dPt>
          <c:dPt>
            <c:idx val="30"/>
            <c:marker>
              <c:symbol val="circle"/>
              <c:size val="4"/>
              <c:spPr>
                <a:solidFill>
                  <a:schemeClr val="bg1">
                    <a:lumMod val="50000"/>
                  </a:schemeClr>
                </a:solidFill>
                <a:ln w="9525">
                  <a:noFill/>
                </a:ln>
                <a:effectLst/>
              </c:spPr>
            </c:marker>
            <c:bubble3D val="0"/>
            <c:extLst>
              <c:ext xmlns:c16="http://schemas.microsoft.com/office/drawing/2014/chart" uri="{C3380CC4-5D6E-409C-BE32-E72D297353CC}">
                <c16:uniqueId val="{00000006-5F8B-4C06-84D0-7F0417895EE5}"/>
              </c:ext>
            </c:extLst>
          </c:dPt>
          <c:cat>
            <c:numRef>
              <c:f>Vertragingslijnen!$G$5:$G$35</c:f>
              <c:numCache>
                <c:formatCode>0</c:formatCode>
                <c:ptCount val="31"/>
                <c:pt idx="0" formatCode="General">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numCache>
            </c:numRef>
          </c:cat>
          <c:val>
            <c:numRef>
              <c:f>Vertragingslijnen!$J$5:$J$35</c:f>
              <c:numCache>
                <c:formatCode>0.0</c:formatCode>
                <c:ptCount val="31"/>
                <c:pt idx="2">
                  <c:v>-10</c:v>
                </c:pt>
                <c:pt idx="3">
                  <c:v>-9.1071428571428577</c:v>
                </c:pt>
                <c:pt idx="4">
                  <c:v>-8.2142857142857153</c:v>
                </c:pt>
                <c:pt idx="5">
                  <c:v>-7.3214285714285721</c:v>
                </c:pt>
                <c:pt idx="6">
                  <c:v>-6.4285714285714288</c:v>
                </c:pt>
                <c:pt idx="7">
                  <c:v>-5.5357142857142856</c:v>
                </c:pt>
                <c:pt idx="8">
                  <c:v>-4.6428571428571423</c:v>
                </c:pt>
                <c:pt idx="9">
                  <c:v>-3.7499999999999996</c:v>
                </c:pt>
                <c:pt idx="10">
                  <c:v>-2.8571428571428568</c:v>
                </c:pt>
                <c:pt idx="11">
                  <c:v>-1.964285714285714</c:v>
                </c:pt>
                <c:pt idx="12">
                  <c:v>-1.0714285714285712</c:v>
                </c:pt>
                <c:pt idx="13">
                  <c:v>-0.17857142857142827</c:v>
                </c:pt>
                <c:pt idx="14">
                  <c:v>0.71428571428571463</c:v>
                </c:pt>
                <c:pt idx="15">
                  <c:v>1.6071428571428577</c:v>
                </c:pt>
                <c:pt idx="16">
                  <c:v>2.5000000000000004</c:v>
                </c:pt>
                <c:pt idx="17">
                  <c:v>3.3928571428571432</c:v>
                </c:pt>
                <c:pt idx="18">
                  <c:v>4.2857142857142865</c:v>
                </c:pt>
                <c:pt idx="19">
                  <c:v>5.1785714285714297</c:v>
                </c:pt>
                <c:pt idx="20">
                  <c:v>6.071428571428573</c:v>
                </c:pt>
                <c:pt idx="21">
                  <c:v>6.9642857142857162</c:v>
                </c:pt>
                <c:pt idx="22">
                  <c:v>7.8571428571428594</c:v>
                </c:pt>
                <c:pt idx="23">
                  <c:v>8.7500000000000018</c:v>
                </c:pt>
                <c:pt idx="24">
                  <c:v>9.6428571428571441</c:v>
                </c:pt>
                <c:pt idx="25">
                  <c:v>10.535714285714286</c:v>
                </c:pt>
                <c:pt idx="26">
                  <c:v>11.428571428571429</c:v>
                </c:pt>
                <c:pt idx="27">
                  <c:v>12.321428571428571</c:v>
                </c:pt>
                <c:pt idx="28">
                  <c:v>13.214285714285714</c:v>
                </c:pt>
                <c:pt idx="29">
                  <c:v>14.107142857142856</c:v>
                </c:pt>
                <c:pt idx="30">
                  <c:v>15</c:v>
                </c:pt>
              </c:numCache>
            </c:numRef>
          </c:val>
          <c:smooth val="0"/>
          <c:extLst>
            <c:ext xmlns:c16="http://schemas.microsoft.com/office/drawing/2014/chart" uri="{C3380CC4-5D6E-409C-BE32-E72D297353CC}">
              <c16:uniqueId val="{00000005-5F8B-4C06-84D0-7F0417895EE5}"/>
            </c:ext>
          </c:extLst>
        </c:ser>
        <c:ser>
          <c:idx val="5"/>
          <c:order val="4"/>
          <c:tx>
            <c:v>4-60 min (2)</c:v>
          </c:tx>
          <c:spPr>
            <a:ln w="15875" cap="rnd">
              <a:solidFill>
                <a:schemeClr val="accent2"/>
              </a:solidFill>
              <a:round/>
            </a:ln>
            <a:effectLst/>
          </c:spPr>
          <c:marker>
            <c:symbol val="circle"/>
            <c:size val="4"/>
            <c:spPr>
              <a:solidFill>
                <a:schemeClr val="accent2"/>
              </a:solidFill>
              <a:ln w="9525">
                <a:noFill/>
              </a:ln>
              <a:effectLst/>
            </c:spPr>
          </c:marker>
          <c:dPt>
            <c:idx val="2"/>
            <c:marker>
              <c:symbol val="circle"/>
              <c:size val="4"/>
              <c:spPr>
                <a:solidFill>
                  <a:srgbClr val="FF0000"/>
                </a:solidFill>
                <a:ln w="9525">
                  <a:noFill/>
                </a:ln>
                <a:effectLst/>
              </c:spPr>
            </c:marker>
            <c:bubble3D val="0"/>
            <c:spPr>
              <a:ln w="15875" cap="rnd">
                <a:solidFill>
                  <a:srgbClr val="FF0000"/>
                </a:solidFill>
                <a:round/>
              </a:ln>
              <a:effectLst/>
            </c:spPr>
            <c:extLst>
              <c:ext xmlns:c16="http://schemas.microsoft.com/office/drawing/2014/chart" uri="{C3380CC4-5D6E-409C-BE32-E72D297353CC}">
                <c16:uniqueId val="{0000000F-B1E9-4118-889B-C8D02007451D}"/>
              </c:ext>
            </c:extLst>
          </c:dPt>
          <c:dPt>
            <c:idx val="30"/>
            <c:marker>
              <c:symbol val="circle"/>
              <c:size val="4"/>
              <c:spPr>
                <a:solidFill>
                  <a:srgbClr val="FF0000"/>
                </a:solidFill>
                <a:ln w="9525">
                  <a:noFill/>
                </a:ln>
                <a:effectLst/>
              </c:spPr>
            </c:marker>
            <c:bubble3D val="0"/>
            <c:extLst>
              <c:ext xmlns:c16="http://schemas.microsoft.com/office/drawing/2014/chart" uri="{C3380CC4-5D6E-409C-BE32-E72D297353CC}">
                <c16:uniqueId val="{00000011-B1E9-4118-889B-C8D02007451D}"/>
              </c:ext>
            </c:extLst>
          </c:dPt>
          <c:val>
            <c:numRef>
              <c:f>Vertragingslijnen!$M$5:$M$35</c:f>
              <c:numCache>
                <c:formatCode>General</c:formatCode>
                <c:ptCount val="31"/>
                <c:pt idx="2" formatCode="0.0">
                  <c:v>-10</c:v>
                </c:pt>
                <c:pt idx="3" formatCode="0.0">
                  <c:v>-9.4642857142857135</c:v>
                </c:pt>
                <c:pt idx="4" formatCode="0.0">
                  <c:v>-8.928571428571427</c:v>
                </c:pt>
                <c:pt idx="5" formatCode="0.0">
                  <c:v>-8.3928571428571406</c:v>
                </c:pt>
                <c:pt idx="6" formatCode="0.0">
                  <c:v>-7.857142857142855</c:v>
                </c:pt>
                <c:pt idx="7" formatCode="0.0">
                  <c:v>-7.3214285714285694</c:v>
                </c:pt>
                <c:pt idx="8" formatCode="0.0">
                  <c:v>-6.7857142857142838</c:v>
                </c:pt>
                <c:pt idx="9" formatCode="0.0">
                  <c:v>-6.2499999999999982</c:v>
                </c:pt>
                <c:pt idx="10" formatCode="0.0">
                  <c:v>-5.7142857142857126</c:v>
                </c:pt>
                <c:pt idx="11" formatCode="0.0">
                  <c:v>-5.178571428571427</c:v>
                </c:pt>
                <c:pt idx="12" formatCode="0.0">
                  <c:v>-4.6428571428571415</c:v>
                </c:pt>
                <c:pt idx="13" formatCode="0.0">
                  <c:v>-4.1071428571428559</c:v>
                </c:pt>
                <c:pt idx="14" formatCode="0.0">
                  <c:v>-3.5714285714285703</c:v>
                </c:pt>
                <c:pt idx="15" formatCode="0.0">
                  <c:v>-3.0357142857142847</c:v>
                </c:pt>
                <c:pt idx="16" formatCode="0.0">
                  <c:v>-2.4999999999999991</c:v>
                </c:pt>
                <c:pt idx="17" formatCode="0.0">
                  <c:v>-1.9642857142857135</c:v>
                </c:pt>
                <c:pt idx="18" formatCode="0.0">
                  <c:v>-1.4285714285714279</c:v>
                </c:pt>
                <c:pt idx="19" formatCode="0.0">
                  <c:v>-0.89285714285714224</c:v>
                </c:pt>
                <c:pt idx="20" formatCode="0.0">
                  <c:v>-0.35714285714285654</c:v>
                </c:pt>
                <c:pt idx="21" formatCode="0.0">
                  <c:v>0.17857142857142916</c:v>
                </c:pt>
                <c:pt idx="22" formatCode="0.0">
                  <c:v>0.71428571428571486</c:v>
                </c:pt>
                <c:pt idx="23" formatCode="0.0">
                  <c:v>1.2500000000000004</c:v>
                </c:pt>
                <c:pt idx="24" formatCode="0.0">
                  <c:v>1.785714285714286</c:v>
                </c:pt>
                <c:pt idx="25" formatCode="0.0">
                  <c:v>2.3214285714285716</c:v>
                </c:pt>
                <c:pt idx="26" formatCode="0.0">
                  <c:v>2.8571428571428572</c:v>
                </c:pt>
                <c:pt idx="27" formatCode="0.0">
                  <c:v>3.3928571428571428</c:v>
                </c:pt>
                <c:pt idx="28" formatCode="0.0">
                  <c:v>3.9285714285714284</c:v>
                </c:pt>
                <c:pt idx="29" formatCode="0.0">
                  <c:v>4.4642857142857144</c:v>
                </c:pt>
                <c:pt idx="30" formatCode="0.0">
                  <c:v>5</c:v>
                </c:pt>
              </c:numCache>
            </c:numRef>
          </c:val>
          <c:smooth val="0"/>
          <c:extLst>
            <c:ext xmlns:c16="http://schemas.microsoft.com/office/drawing/2014/chart" uri="{C3380CC4-5D6E-409C-BE32-E72D297353CC}">
              <c16:uniqueId val="{00000010-78D5-4651-B6FF-706C3E0A4736}"/>
            </c:ext>
          </c:extLst>
        </c:ser>
        <c:ser>
          <c:idx val="4"/>
          <c:order val="5"/>
          <c:tx>
            <c:v>8-60 min</c:v>
          </c:tx>
          <c:spPr>
            <a:ln w="15875" cap="rnd">
              <a:solidFill>
                <a:srgbClr val="C00000"/>
              </a:solidFill>
              <a:round/>
            </a:ln>
            <a:effectLst/>
          </c:spPr>
          <c:marker>
            <c:symbol val="circle"/>
            <c:size val="4"/>
            <c:spPr>
              <a:solidFill>
                <a:srgbClr val="C00000"/>
              </a:solidFill>
              <a:ln w="9525">
                <a:noFill/>
              </a:ln>
              <a:effectLst/>
            </c:spPr>
          </c:marker>
          <c:dPt>
            <c:idx val="4"/>
            <c:marker>
              <c:symbol val="circle"/>
              <c:size val="4"/>
              <c:spPr>
                <a:solidFill>
                  <a:srgbClr val="FF0000"/>
                </a:solidFill>
                <a:ln w="9525">
                  <a:noFill/>
                </a:ln>
                <a:effectLst/>
              </c:spPr>
            </c:marker>
            <c:bubble3D val="0"/>
            <c:extLst>
              <c:ext xmlns:c16="http://schemas.microsoft.com/office/drawing/2014/chart" uri="{C3380CC4-5D6E-409C-BE32-E72D297353CC}">
                <c16:uniqueId val="{00000010-0AB7-4F25-B378-C9D3C794A482}"/>
              </c:ext>
            </c:extLst>
          </c:dPt>
          <c:dPt>
            <c:idx val="30"/>
            <c:marker>
              <c:symbol val="circle"/>
              <c:size val="4"/>
              <c:spPr>
                <a:solidFill>
                  <a:srgbClr val="FF0000"/>
                </a:solidFill>
                <a:ln w="9525">
                  <a:noFill/>
                </a:ln>
                <a:effectLst/>
              </c:spPr>
            </c:marker>
            <c:bubble3D val="0"/>
            <c:extLst>
              <c:ext xmlns:c16="http://schemas.microsoft.com/office/drawing/2014/chart" uri="{C3380CC4-5D6E-409C-BE32-E72D297353CC}">
                <c16:uniqueId val="{00000011-0AB7-4F25-B378-C9D3C794A482}"/>
              </c:ext>
            </c:extLst>
          </c:dPt>
          <c:val>
            <c:numRef>
              <c:f>Vertragingslijnen!$L$5:$L$35</c:f>
              <c:numCache>
                <c:formatCode>0.0</c:formatCode>
                <c:ptCount val="31"/>
                <c:pt idx="4">
                  <c:v>-10</c:v>
                </c:pt>
                <c:pt idx="5">
                  <c:v>-9.0384615384615383</c:v>
                </c:pt>
                <c:pt idx="6">
                  <c:v>-8.0769230769230766</c:v>
                </c:pt>
                <c:pt idx="7">
                  <c:v>-7.115384615384615</c:v>
                </c:pt>
                <c:pt idx="8">
                  <c:v>-6.1538461538461533</c:v>
                </c:pt>
                <c:pt idx="9">
                  <c:v>-5.1923076923076916</c:v>
                </c:pt>
                <c:pt idx="10">
                  <c:v>-4.2307692307692299</c:v>
                </c:pt>
                <c:pt idx="11">
                  <c:v>-3.2692307692307683</c:v>
                </c:pt>
                <c:pt idx="12">
                  <c:v>-2.3076923076923066</c:v>
                </c:pt>
                <c:pt idx="13">
                  <c:v>-1.3461538461538449</c:v>
                </c:pt>
                <c:pt idx="14">
                  <c:v>-0.38461538461538336</c:v>
                </c:pt>
                <c:pt idx="15">
                  <c:v>0.5769230769230782</c:v>
                </c:pt>
                <c:pt idx="16">
                  <c:v>1.5384615384615397</c:v>
                </c:pt>
                <c:pt idx="17">
                  <c:v>2.5000000000000013</c:v>
                </c:pt>
                <c:pt idx="18">
                  <c:v>3.461538461538463</c:v>
                </c:pt>
                <c:pt idx="19">
                  <c:v>4.4230769230769242</c:v>
                </c:pt>
                <c:pt idx="20">
                  <c:v>5.3846153846153859</c:v>
                </c:pt>
                <c:pt idx="21">
                  <c:v>6.3461538461538476</c:v>
                </c:pt>
                <c:pt idx="22">
                  <c:v>7.3076923076923093</c:v>
                </c:pt>
                <c:pt idx="23">
                  <c:v>8.2692307692307701</c:v>
                </c:pt>
                <c:pt idx="24">
                  <c:v>9.2307692307692317</c:v>
                </c:pt>
                <c:pt idx="25">
                  <c:v>10.192307692307693</c:v>
                </c:pt>
                <c:pt idx="26">
                  <c:v>11.153846153846155</c:v>
                </c:pt>
                <c:pt idx="27">
                  <c:v>12.115384615384617</c:v>
                </c:pt>
                <c:pt idx="28">
                  <c:v>13.076923076923078</c:v>
                </c:pt>
                <c:pt idx="29">
                  <c:v>14.03846153846154</c:v>
                </c:pt>
                <c:pt idx="30">
                  <c:v>15</c:v>
                </c:pt>
              </c:numCache>
            </c:numRef>
          </c:val>
          <c:smooth val="0"/>
          <c:extLst>
            <c:ext xmlns:c16="http://schemas.microsoft.com/office/drawing/2014/chart" uri="{C3380CC4-5D6E-409C-BE32-E72D297353CC}">
              <c16:uniqueId val="{0000000E-0AB7-4F25-B378-C9D3C794A482}"/>
            </c:ext>
          </c:extLst>
        </c:ser>
        <c:ser>
          <c:idx val="6"/>
          <c:order val="6"/>
          <c:tx>
            <c:v>persoonlijk</c:v>
          </c:tx>
          <c:spPr>
            <a:ln w="28575" cap="rnd">
              <a:solidFill>
                <a:srgbClr val="FF0000"/>
              </a:solidFill>
              <a:prstDash val="sysDash"/>
              <a:round/>
            </a:ln>
            <a:effectLst/>
          </c:spPr>
          <c:marker>
            <c:symbol val="circle"/>
            <c:size val="4"/>
            <c:spPr>
              <a:noFill/>
              <a:ln w="9525">
                <a:noFill/>
              </a:ln>
              <a:effectLst/>
            </c:spPr>
          </c:marker>
          <c:val>
            <c:numRef>
              <c:f>Vertragingslijnen!$N$5:$N$35</c:f>
              <c:numCache>
                <c:formatCode>0.0</c:formatCode>
                <c:ptCount val="31"/>
                <c:pt idx="0">
                  <c:v>-17.608695652173914</c:v>
                </c:pt>
                <c:pt idx="1">
                  <c:v>-16.521739130434785</c:v>
                </c:pt>
                <c:pt idx="2">
                  <c:v>-15.434782608695654</c:v>
                </c:pt>
                <c:pt idx="3">
                  <c:v>-14.347826086956523</c:v>
                </c:pt>
                <c:pt idx="4">
                  <c:v>-13.260869565217392</c:v>
                </c:pt>
                <c:pt idx="5">
                  <c:v>-12.173913043478262</c:v>
                </c:pt>
                <c:pt idx="6">
                  <c:v>-11.086956521739131</c:v>
                </c:pt>
                <c:pt idx="7">
                  <c:v>-10</c:v>
                </c:pt>
                <c:pt idx="8">
                  <c:v>-8.9130434782608692</c:v>
                </c:pt>
                <c:pt idx="9">
                  <c:v>-7.8260869565217384</c:v>
                </c:pt>
                <c:pt idx="10">
                  <c:v>-6.7391304347826075</c:v>
                </c:pt>
                <c:pt idx="11">
                  <c:v>-5.6521739130434767</c:v>
                </c:pt>
                <c:pt idx="12">
                  <c:v>-4.5652173913043459</c:v>
                </c:pt>
                <c:pt idx="13">
                  <c:v>-3.4782608695652155</c:v>
                </c:pt>
                <c:pt idx="14">
                  <c:v>-2.3913043478260851</c:v>
                </c:pt>
                <c:pt idx="15">
                  <c:v>-1.3043478260869548</c:v>
                </c:pt>
                <c:pt idx="16">
                  <c:v>-0.21739130434782439</c:v>
                </c:pt>
                <c:pt idx="17">
                  <c:v>0.86956521739130599</c:v>
                </c:pt>
                <c:pt idx="18">
                  <c:v>1.9565217391304364</c:v>
                </c:pt>
                <c:pt idx="19">
                  <c:v>3.0434782608695667</c:v>
                </c:pt>
                <c:pt idx="20">
                  <c:v>4.1304347826086971</c:v>
                </c:pt>
                <c:pt idx="21">
                  <c:v>5.2173913043478279</c:v>
                </c:pt>
                <c:pt idx="22">
                  <c:v>6.3043478260869588</c:v>
                </c:pt>
                <c:pt idx="23">
                  <c:v>7.3913043478260896</c:v>
                </c:pt>
                <c:pt idx="24">
                  <c:v>8.4782608695652204</c:v>
                </c:pt>
                <c:pt idx="25">
                  <c:v>9.5652173913043512</c:v>
                </c:pt>
                <c:pt idx="26">
                  <c:v>10.652173913043482</c:v>
                </c:pt>
                <c:pt idx="27">
                  <c:v>11.739130434782613</c:v>
                </c:pt>
                <c:pt idx="28">
                  <c:v>12.826086956521744</c:v>
                </c:pt>
                <c:pt idx="29">
                  <c:v>13.913043478260875</c:v>
                </c:pt>
                <c:pt idx="30">
                  <c:v>15.000000000000005</c:v>
                </c:pt>
              </c:numCache>
            </c:numRef>
          </c:val>
          <c:smooth val="0"/>
          <c:extLst>
            <c:ext xmlns:c16="http://schemas.microsoft.com/office/drawing/2014/chart" uri="{C3380CC4-5D6E-409C-BE32-E72D297353CC}">
              <c16:uniqueId val="{00000012-5CF5-4BF7-B2D2-2B2BDE82DD1C}"/>
            </c:ext>
          </c:extLst>
        </c:ser>
        <c:dLbls>
          <c:showLegendKey val="0"/>
          <c:showVal val="0"/>
          <c:showCatName val="0"/>
          <c:showSerName val="0"/>
          <c:showPercent val="0"/>
          <c:showBubbleSize val="0"/>
        </c:dLbls>
        <c:marker val="1"/>
        <c:smooth val="0"/>
        <c:axId val="634635400"/>
        <c:axId val="634634744"/>
      </c:lineChart>
      <c:catAx>
        <c:axId val="63463540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r>
                  <a:rPr lang="en-US" sz="1200" b="0">
                    <a:solidFill>
                      <a:sysClr val="windowText" lastClr="000000"/>
                    </a:solidFill>
                    <a:latin typeface="+mn-lt"/>
                    <a:cs typeface="Arial" panose="020B0604020202020204" pitchFamily="34" charset="0"/>
                  </a:rPr>
                  <a:t>minuten wachttijd bij </a:t>
                </a:r>
                <a:r>
                  <a:rPr lang="en-US" sz="1200" b="1">
                    <a:solidFill>
                      <a:sysClr val="windowText" lastClr="000000"/>
                    </a:solidFill>
                    <a:latin typeface="+mn-lt"/>
                    <a:cs typeface="Arial" panose="020B0604020202020204" pitchFamily="34" charset="0"/>
                  </a:rPr>
                  <a:t>HP030=0</a:t>
                </a:r>
              </a:p>
            </c:rich>
          </c:tx>
          <c:layout>
            <c:manualLayout>
              <c:xMode val="edge"/>
              <c:yMode val="edge"/>
              <c:x val="0.39219135139242045"/>
              <c:y val="0.9075676449534715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endParaRPr lang="nl-NL"/>
            </a:p>
          </c:txPr>
        </c:title>
        <c:numFmt formatCode="#0\'" sourceLinked="0"/>
        <c:majorTickMark val="cross"/>
        <c:minorTickMark val="cross"/>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Arial" panose="020B0604020202020204" pitchFamily="34" charset="0"/>
              </a:defRPr>
            </a:pPr>
            <a:endParaRPr lang="nl-NL"/>
          </a:p>
        </c:txPr>
        <c:crossAx val="634634744"/>
        <c:crossesAt val="0"/>
        <c:auto val="1"/>
        <c:lblAlgn val="ctr"/>
        <c:lblOffset val="100"/>
        <c:tickLblSkip val="1"/>
        <c:noMultiLvlLbl val="0"/>
      </c:catAx>
      <c:valAx>
        <c:axId val="634634744"/>
        <c:scaling>
          <c:orientation val="minMax"/>
          <c:max val="17"/>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r>
                  <a:rPr lang="en-US" sz="1200">
                    <a:solidFill>
                      <a:sysClr val="windowText" lastClr="000000"/>
                    </a:solidFill>
                    <a:latin typeface="+mn-lt"/>
                    <a:cs typeface="Arial" panose="020B0604020202020204" pitchFamily="34" charset="0"/>
                  </a:rPr>
                  <a:t>buitentemperatuur in ⁰C</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endParaRPr lang="nl-NL"/>
            </a:p>
          </c:txPr>
        </c:title>
        <c:numFmt formatCode="0_ ;[Blue]\-0\ "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Arial" panose="020B0604020202020204" pitchFamily="34" charset="0"/>
              </a:defRPr>
            </a:pPr>
            <a:endParaRPr lang="nl-NL"/>
          </a:p>
        </c:txPr>
        <c:crossAx val="634635400"/>
        <c:crossesAt val="1"/>
        <c:crossBetween val="between"/>
        <c:majorUnit val="1"/>
        <c:minorUnit val="1"/>
      </c:valAx>
      <c:spPr>
        <a:solidFill>
          <a:schemeClr val="bg1">
            <a:lumMod val="95000"/>
          </a:schemeClr>
        </a:solidFill>
        <a:ln>
          <a:noFill/>
        </a:ln>
        <a:effectLst/>
      </c:spPr>
    </c:plotArea>
    <c:legend>
      <c:legendPos val="b"/>
      <c:legendEntry>
        <c:idx val="6"/>
        <c:txPr>
          <a:bodyPr rot="0" spcFirstLastPara="1" vertOverflow="ellipsis" vert="horz" wrap="square" anchor="ctr" anchorCtr="1"/>
          <a:lstStyle/>
          <a:p>
            <a:pPr>
              <a:defRPr sz="1200" b="0" i="0" u="none" strike="noStrike" kern="1200" baseline="0">
                <a:solidFill>
                  <a:srgbClr val="FF0000"/>
                </a:solidFill>
                <a:latin typeface="+mn-lt"/>
                <a:ea typeface="+mn-ea"/>
                <a:cs typeface="Arial" panose="020B0604020202020204" pitchFamily="34" charset="0"/>
              </a:defRPr>
            </a:pPr>
            <a:endParaRPr lang="nl-NL"/>
          </a:p>
        </c:txPr>
      </c:legendEntry>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Arial" panose="020B0604020202020204" pitchFamily="34" charset="0"/>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nl-NL"/>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892D6ED-B551-4E65-83BE-F8DEA6F7E09F}">
  <sheetPr/>
  <sheetViews>
    <sheetView tabSelected="1" zoomScale="130" workbookViewId="0"/>
  </sheetViews>
  <pageMargins left="0.25" right="0.25" top="0.75" bottom="0.75" header="0.3" footer="0.3"/>
  <pageSetup paperSize="9" orientation="landscape" horizontalDpi="4294967293"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C7DFBA6-F44D-4D73-8B69-37FB4F9C45E7}">
  <sheetPr/>
  <sheetViews>
    <sheetView zoomScale="130" workbookViewId="0"/>
  </sheetViews>
  <sheetProtection algorithmName="SHA-512" hashValue="1eHhPY35cjZzQsKYyK3ltz/U7fASAFNCHQEEOUDXjJOtOTtSHQrVEq3aQDwo5Ew7LqgD0qd/lLltPGmUVSSIkA==" saltValue="1YfsIsbqAiRTjDYOZmsMYA==" spinCount="100000" content="1" objects="1"/>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314327</xdr:colOff>
      <xdr:row>15</xdr:row>
      <xdr:rowOff>95250</xdr:rowOff>
    </xdr:from>
    <xdr:to>
      <xdr:col>3</xdr:col>
      <xdr:colOff>581027</xdr:colOff>
      <xdr:row>32</xdr:row>
      <xdr:rowOff>85724</xdr:rowOff>
    </xdr:to>
    <xdr:sp macro="" textlink="">
      <xdr:nvSpPr>
        <xdr:cNvPr id="2" name="Tekstvak 1">
          <a:extLst>
            <a:ext uri="{FF2B5EF4-FFF2-40B4-BE49-F238E27FC236}">
              <a16:creationId xmlns:a16="http://schemas.microsoft.com/office/drawing/2014/main" id="{52BB269A-A6A2-4FF4-8D74-DA99A0D91A61}"/>
            </a:ext>
          </a:extLst>
        </xdr:cNvPr>
        <xdr:cNvSpPr txBox="1"/>
      </xdr:nvSpPr>
      <xdr:spPr>
        <a:xfrm rot="16200000">
          <a:off x="219077" y="4467225"/>
          <a:ext cx="3162299" cy="2667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00" b="0">
              <a:solidFill>
                <a:srgbClr val="00B050"/>
              </a:solidFill>
            </a:rPr>
            <a:t>berekende aanvoertemperaturen Ta (CM070)</a:t>
          </a:r>
        </a:p>
      </xdr:txBody>
    </xdr:sp>
    <xdr:clientData/>
  </xdr:twoCellAnchor>
  <xdr:twoCellAnchor>
    <xdr:from>
      <xdr:col>16</xdr:col>
      <xdr:colOff>19051</xdr:colOff>
      <xdr:row>9</xdr:row>
      <xdr:rowOff>28573</xdr:rowOff>
    </xdr:from>
    <xdr:to>
      <xdr:col>18</xdr:col>
      <xdr:colOff>4448174</xdr:colOff>
      <xdr:row>36</xdr:row>
      <xdr:rowOff>142874</xdr:rowOff>
    </xdr:to>
    <xdr:sp macro="" textlink="">
      <xdr:nvSpPr>
        <xdr:cNvPr id="3" name="Tekstvak 2">
          <a:extLst>
            <a:ext uri="{FF2B5EF4-FFF2-40B4-BE49-F238E27FC236}">
              <a16:creationId xmlns:a16="http://schemas.microsoft.com/office/drawing/2014/main" id="{15E09B70-7C6D-431E-A4AD-6DF2D7D5DE18}"/>
            </a:ext>
          </a:extLst>
        </xdr:cNvPr>
        <xdr:cNvSpPr txBox="1"/>
      </xdr:nvSpPr>
      <xdr:spPr>
        <a:xfrm>
          <a:off x="7629526" y="1866898"/>
          <a:ext cx="5038723" cy="5067301"/>
        </a:xfrm>
        <a:prstGeom prst="rect">
          <a:avLst/>
        </a:prstGeom>
        <a:solidFill>
          <a:srgbClr val="FFFFCC"/>
        </a:solidFill>
        <a:ln w="635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a:t>In de Elga Ace kunt</a:t>
          </a:r>
          <a:r>
            <a:rPr lang="nl-NL" sz="1100" baseline="0"/>
            <a:t> u</a:t>
          </a:r>
          <a:r>
            <a:rPr lang="nl-NL" sz="1100"/>
            <a:t> een stooklijn instellen</a:t>
          </a:r>
          <a:r>
            <a:rPr lang="nl-NL" sz="1100" baseline="0"/>
            <a:t> door een </a:t>
          </a:r>
          <a:r>
            <a:rPr lang="nl-NL" sz="1100"/>
            <a:t>gradiënt en</a:t>
          </a:r>
          <a:r>
            <a:rPr lang="nl-NL" sz="1100" baseline="0"/>
            <a:t> een voetpunt daarvoor </a:t>
          </a:r>
          <a:r>
            <a:rPr lang="nl-NL" sz="1100"/>
            <a:t>in te voeren met parameters CP230 en CP210/220. Deze parameters bepalen de aanvoertemperatuur (Ta) bij de gewenste ruimtetemperatuur (Tk) en een bepaalde buitentemperatuur (Tb). Hoe hoger de stooklijn is ingesteld en hoe lager Tb is, hoe hoger de Ta zal zijn. De stooklijn wordt alleen gebruikt bij een weersafhankelijke regeling (al dan niet met ruimtecorrectie, zie CP780).</a:t>
          </a:r>
        </a:p>
        <a:p>
          <a:pPr algn="ctr"/>
          <a:r>
            <a:rPr lang="nl-NL" sz="1100"/>
            <a:t>De Elga Ace berekent de aanvoertemperatuur met de volgende formule:</a:t>
          </a:r>
        </a:p>
        <a:p>
          <a:pPr algn="ctr"/>
          <a:r>
            <a:rPr lang="nl-NL" sz="1100" b="1" i="1"/>
            <a:t>Ta </a:t>
          </a:r>
          <a:r>
            <a:rPr lang="nl-NL" sz="1100" b="1" i="1">
              <a:solidFill>
                <a:schemeClr val="tx1"/>
              </a:solidFill>
            </a:rPr>
            <a:t>= voetpunt </a:t>
          </a:r>
          <a:r>
            <a:rPr lang="nl-NL" sz="1100" b="1" i="1"/>
            <a:t>+ stooklijngradiënt * (Tk</a:t>
          </a:r>
          <a:r>
            <a:rPr lang="nl-NL" sz="1100" b="1" i="1" baseline="-25000"/>
            <a:t>gewenst  </a:t>
          </a:r>
          <a:r>
            <a:rPr lang="nl-NL" sz="1100" b="1" i="1"/>
            <a:t>– buitentemperatuur)</a:t>
          </a:r>
        </a:p>
        <a:p>
          <a:pPr algn="ctr"/>
          <a:endParaRPr lang="nl-NL" sz="1100"/>
        </a:p>
        <a:p>
          <a:pPr algn="ctr"/>
          <a:r>
            <a:rPr lang="nl-NL" sz="1100"/>
            <a:t>Met het te kiezen voetpunt (CP210/220) stel je de minimale Ta in  die gebruikt wordt </a:t>
          </a:r>
          <a:r>
            <a:rPr lang="nl-NL" sz="1100" baseline="0"/>
            <a:t>als de actuele Tb gelijk is aan de gewenste Tk. </a:t>
          </a:r>
          <a:r>
            <a:rPr lang="nl-NL" sz="1100"/>
            <a:t> Omdat de meeste mensen 20⁰C kamertemperatuur gewenst vinden, is het voetpunt ook vaak ingesteld op 20⁰C. Bij de Elga Ace kun je het voetpunt automatisch laten bepalen aan de hand van de richttemperatuur op de kamerthermostaat (standaard; CP210/220 hebben dan de waarde 15), of deze op een vaste waarde (</a:t>
          </a:r>
          <a:r>
            <a:rPr lang="nl-NL" sz="1100">
              <a:latin typeface="Calibri" panose="020F0502020204030204" pitchFamily="34" charset="0"/>
              <a:cs typeface="Calibri" panose="020F0502020204030204" pitchFamily="34" charset="0"/>
            </a:rPr>
            <a:t>≥</a:t>
          </a:r>
          <a:r>
            <a:rPr lang="nl-NL" sz="1100"/>
            <a:t>16) instellen. Een verhoging van het voetpunt resulteert in een hogere aanvoertemperatuur over de gehele lengte van de stooklijn: deze wordt parallel omhoog verplaatst.</a:t>
          </a:r>
        </a:p>
        <a:p>
          <a:pPr algn="ctr"/>
          <a:endParaRPr lang="nl-NL" sz="1100"/>
        </a:p>
        <a:p>
          <a:pPr algn="ctr"/>
          <a:r>
            <a:rPr lang="nl-NL" sz="1100"/>
            <a:t>U kunt de</a:t>
          </a:r>
          <a:r>
            <a:rPr lang="nl-NL" sz="1100" baseline="0"/>
            <a:t> waarden van de boven de tabel genoemde parameters binnen zekere limieten aanpassen om in de grafiek persoonlijke stooklijnen weer te geven.</a:t>
          </a:r>
        </a:p>
        <a:p>
          <a:pPr algn="ctr"/>
          <a:endParaRPr lang="nl-NL" sz="1100" baseline="0"/>
        </a:p>
        <a:p>
          <a:pPr algn="ctr"/>
          <a:r>
            <a:rPr lang="nl-NL" sz="1100">
              <a:solidFill>
                <a:schemeClr val="dk1"/>
              </a:solidFill>
              <a:effectLst/>
              <a:latin typeface="+mn-lt"/>
              <a:ea typeface="+mn-ea"/>
              <a:cs typeface="+mn-cs"/>
            </a:rPr>
            <a:t>Als CP780=WAR+Ruimtecorrectie kan de invloed van het verschil tussen Tk gewenst en Tk gemeten worden ingesteld met CP240; dit bepaalt een </a:t>
          </a:r>
          <a:r>
            <a:rPr lang="nl-NL" sz="1100" i="1">
              <a:solidFill>
                <a:schemeClr val="dk1"/>
              </a:solidFill>
              <a:effectLst/>
              <a:latin typeface="+mn-lt"/>
              <a:ea typeface="+mn-ea"/>
              <a:cs typeface="+mn-cs"/>
            </a:rPr>
            <a:t>offset</a:t>
          </a:r>
          <a:r>
            <a:rPr lang="nl-NL" sz="1100">
              <a:solidFill>
                <a:schemeClr val="dk1"/>
              </a:solidFill>
              <a:effectLst/>
              <a:latin typeface="+mn-lt"/>
              <a:ea typeface="+mn-ea"/>
              <a:cs typeface="+mn-cs"/>
            </a:rPr>
            <a:t> van de stooklijn</a:t>
          </a:r>
        </a:p>
        <a:p>
          <a:pPr algn="ctr"/>
          <a:r>
            <a:rPr lang="nl-NL" sz="1100">
              <a:solidFill>
                <a:schemeClr val="dk1"/>
              </a:solidFill>
              <a:effectLst/>
              <a:latin typeface="+mn-lt"/>
              <a:ea typeface="+mn-ea"/>
              <a:cs typeface="+mn-cs"/>
            </a:rPr>
            <a:t>(die is maximaal +20°C):</a:t>
          </a:r>
          <a:endParaRPr lang="nl-NL" sz="1100" baseline="0">
            <a:solidFill>
              <a:schemeClr val="dk1"/>
            </a:solidFill>
            <a:effectLst/>
            <a:latin typeface="+mn-lt"/>
            <a:ea typeface="+mn-ea"/>
            <a:cs typeface="+mn-cs"/>
          </a:endParaRPr>
        </a:p>
        <a:p>
          <a:pPr algn="ctr"/>
          <a:r>
            <a:rPr lang="nl-NL" sz="1100" b="1" i="1">
              <a:solidFill>
                <a:schemeClr val="dk1"/>
              </a:solidFill>
              <a:effectLst/>
              <a:latin typeface="+mn-lt"/>
              <a:ea typeface="+mn-ea"/>
              <a:cs typeface="+mn-cs"/>
            </a:rPr>
            <a:t>offset = (Tk</a:t>
          </a:r>
          <a:r>
            <a:rPr lang="nl-NL" sz="1100" b="1" i="1" baseline="-25000">
              <a:solidFill>
                <a:schemeClr val="dk1"/>
              </a:solidFill>
              <a:effectLst/>
              <a:latin typeface="+mn-lt"/>
              <a:ea typeface="+mn-ea"/>
              <a:cs typeface="+mn-cs"/>
            </a:rPr>
            <a:t>gewenst</a:t>
          </a:r>
          <a:r>
            <a:rPr lang="nl-NL" sz="1100" b="1" i="1">
              <a:solidFill>
                <a:schemeClr val="dk1"/>
              </a:solidFill>
              <a:effectLst/>
              <a:latin typeface="+mn-lt"/>
              <a:ea typeface="+mn-ea"/>
              <a:cs typeface="+mn-cs"/>
            </a:rPr>
            <a:t> – Tk</a:t>
          </a:r>
          <a:r>
            <a:rPr lang="nl-NL" sz="1100" b="1" i="1" baseline="-25000">
              <a:solidFill>
                <a:schemeClr val="dk1"/>
              </a:solidFill>
              <a:effectLst/>
              <a:latin typeface="+mn-lt"/>
              <a:ea typeface="+mn-ea"/>
              <a:cs typeface="+mn-cs"/>
            </a:rPr>
            <a:t>gemeten </a:t>
          </a:r>
          <a:r>
            <a:rPr lang="nl-NL" sz="1100" b="1" i="1">
              <a:solidFill>
                <a:schemeClr val="dk1"/>
              </a:solidFill>
              <a:effectLst/>
              <a:latin typeface="+mn-lt"/>
              <a:ea typeface="+mn-ea"/>
              <a:cs typeface="+mn-cs"/>
            </a:rPr>
            <a:t>) * (1 + CP230) * CP240</a:t>
          </a:r>
          <a:endParaRPr lang="nl-NL" b="1">
            <a:effectLst/>
          </a:endParaRPr>
        </a:p>
        <a:p>
          <a:pPr algn="ctr"/>
          <a:endParaRPr lang="nl-NL" sz="1100">
            <a:solidFill>
              <a:schemeClr val="dk1"/>
            </a:solidFill>
            <a:effectLst/>
            <a:latin typeface="+mn-lt"/>
            <a:ea typeface="+mn-ea"/>
            <a:cs typeface="+mn-cs"/>
          </a:endParaRPr>
        </a:p>
        <a:p>
          <a:pPr algn="ctr"/>
          <a:r>
            <a:rPr lang="nl-NL" sz="1100">
              <a:solidFill>
                <a:schemeClr val="dk1"/>
              </a:solidFill>
              <a:effectLst/>
              <a:latin typeface="+mn-lt"/>
              <a:ea typeface="+mn-ea"/>
              <a:cs typeface="+mn-cs"/>
            </a:rPr>
            <a:t>Bijvoorbeeld: als CP230=1.5, CP240=3, gewenste Tk=20°C en gemeten Tk=18°C dan is</a:t>
          </a:r>
        </a:p>
        <a:p>
          <a:pPr algn="ctr"/>
          <a:r>
            <a:rPr lang="nl-NL" sz="1100" i="1">
              <a:solidFill>
                <a:schemeClr val="dk1"/>
              </a:solidFill>
              <a:effectLst/>
              <a:latin typeface="+mn-lt"/>
              <a:ea typeface="+mn-ea"/>
              <a:cs typeface="+mn-cs"/>
            </a:rPr>
            <a:t>offset = (20-18) * (1+1.5) * 3 = +15°C</a:t>
          </a:r>
          <a:endParaRPr lang="nl-NL" i="1">
            <a:effectLst/>
          </a:endParaRPr>
        </a:p>
        <a:p>
          <a:pPr algn="ctr"/>
          <a:r>
            <a:rPr lang="nl-NL" sz="1100"/>
            <a:t>De rood</a:t>
          </a:r>
          <a:r>
            <a:rPr lang="nl-NL" sz="1100" baseline="0"/>
            <a:t> onderbroken lijn in de grafiek toont de stooklijn+ruimtecorrectie.</a:t>
          </a:r>
          <a:endParaRPr lang="nl-NL" sz="1100"/>
        </a:p>
      </xdr:txBody>
    </xdr:sp>
    <xdr:clientData/>
  </xdr:twoCellAnchor>
  <xdr:twoCellAnchor>
    <xdr:from>
      <xdr:col>3</xdr:col>
      <xdr:colOff>457201</xdr:colOff>
      <xdr:row>4</xdr:row>
      <xdr:rowOff>0</xdr:rowOff>
    </xdr:from>
    <xdr:to>
      <xdr:col>6</xdr:col>
      <xdr:colOff>257176</xdr:colOff>
      <xdr:row>7</xdr:row>
      <xdr:rowOff>9525</xdr:rowOff>
    </xdr:to>
    <xdr:sp macro="" textlink="">
      <xdr:nvSpPr>
        <xdr:cNvPr id="4" name="Tekstballon: rechthoek met afgeronde hoeken 3">
          <a:extLst>
            <a:ext uri="{FF2B5EF4-FFF2-40B4-BE49-F238E27FC236}">
              <a16:creationId xmlns:a16="http://schemas.microsoft.com/office/drawing/2014/main" id="{0EE40D58-8F25-4177-BD16-56EE69F06B10}"/>
            </a:ext>
          </a:extLst>
        </xdr:cNvPr>
        <xdr:cNvSpPr/>
      </xdr:nvSpPr>
      <xdr:spPr>
        <a:xfrm>
          <a:off x="1809751" y="809625"/>
          <a:ext cx="1428750" cy="723900"/>
        </a:xfrm>
        <a:prstGeom prst="wedgeRoundRectCallout">
          <a:avLst>
            <a:gd name="adj1" fmla="val 72744"/>
            <a:gd name="adj2" fmla="val 6790"/>
            <a:gd name="adj3" fmla="val 16667"/>
          </a:avLst>
        </a:prstGeom>
        <a:solidFill>
          <a:srgbClr val="FFFFB7"/>
        </a:solidFill>
        <a:ln>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900" i="1">
              <a:solidFill>
                <a:sysClr val="windowText" lastClr="000000"/>
              </a:solidFill>
            </a:rPr>
            <a:t>Aanpassingen</a:t>
          </a:r>
          <a:r>
            <a:rPr lang="nl-NL" sz="900" i="1" baseline="0">
              <a:solidFill>
                <a:sysClr val="windowText" lastClr="000000"/>
              </a:solidFill>
            </a:rPr>
            <a:t> van HP000, HP051, AP063 en </a:t>
          </a:r>
          <a:r>
            <a:rPr lang="nl-NL" sz="900" i="1" baseline="0">
              <a:solidFill>
                <a:sysClr val="windowText" lastClr="000000"/>
              </a:solidFill>
              <a:effectLst/>
              <a:latin typeface="+mn-lt"/>
              <a:ea typeface="+mn-ea"/>
              <a:cs typeface="+mn-cs"/>
            </a:rPr>
            <a:t>CP000</a:t>
          </a:r>
          <a:r>
            <a:rPr lang="nl-NL" sz="900" i="1" baseline="0">
              <a:solidFill>
                <a:sysClr val="windowText" lastClr="000000"/>
              </a:solidFill>
            </a:rPr>
            <a:t> hebben geen invloed op de tabel. Wel op de grafiek.</a:t>
          </a:r>
          <a:endParaRPr lang="nl-NL" sz="900" i="1">
            <a:solidFill>
              <a:sysClr val="windowText" lastClr="000000"/>
            </a:solidFill>
          </a:endParaRPr>
        </a:p>
      </xdr:txBody>
    </xdr:sp>
    <xdr:clientData/>
  </xdr:twoCellAnchor>
  <xdr:twoCellAnchor>
    <xdr:from>
      <xdr:col>18</xdr:col>
      <xdr:colOff>28575</xdr:colOff>
      <xdr:row>7</xdr:row>
      <xdr:rowOff>28575</xdr:rowOff>
    </xdr:from>
    <xdr:to>
      <xdr:col>18</xdr:col>
      <xdr:colOff>3438525</xdr:colOff>
      <xdr:row>8</xdr:row>
      <xdr:rowOff>171450</xdr:rowOff>
    </xdr:to>
    <xdr:sp macro="" textlink="">
      <xdr:nvSpPr>
        <xdr:cNvPr id="5" name="Tekstballon: rechthoek met afgeronde hoeken 4">
          <a:extLst>
            <a:ext uri="{FF2B5EF4-FFF2-40B4-BE49-F238E27FC236}">
              <a16:creationId xmlns:a16="http://schemas.microsoft.com/office/drawing/2014/main" id="{B8B6AAEE-8549-470A-B0FE-37CDF395A898}"/>
            </a:ext>
          </a:extLst>
        </xdr:cNvPr>
        <xdr:cNvSpPr/>
      </xdr:nvSpPr>
      <xdr:spPr>
        <a:xfrm>
          <a:off x="8724900" y="1600200"/>
          <a:ext cx="3409950" cy="219075"/>
        </a:xfrm>
        <a:prstGeom prst="wedgeRoundRectCallout">
          <a:avLst>
            <a:gd name="adj1" fmla="val -55133"/>
            <a:gd name="adj2" fmla="val -54617"/>
            <a:gd name="adj3" fmla="val 16667"/>
          </a:avLst>
        </a:prstGeom>
        <a:solidFill>
          <a:srgbClr val="FFFFB7"/>
        </a:solidFill>
        <a:ln>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nl-NL" sz="900" i="1">
              <a:solidFill>
                <a:sysClr val="windowText" lastClr="000000"/>
              </a:solidFill>
              <a:effectLst/>
              <a:latin typeface="+mn-lt"/>
              <a:ea typeface="+mn-ea"/>
              <a:cs typeface="+mn-cs"/>
            </a:rPr>
            <a:t>De 2 rode waarden kunt u zelf aanpassen. Zie markeringen in de tabel.</a:t>
          </a:r>
          <a:endParaRPr lang="nl-NL" sz="900">
            <a:solidFill>
              <a:sysClr val="windowText" lastClr="000000"/>
            </a:solidFill>
            <a:effectLst/>
          </a:endParaRPr>
        </a:p>
      </xdr:txBody>
    </xdr:sp>
    <xdr:clientData/>
  </xdr:twoCellAnchor>
  <xdr:twoCellAnchor>
    <xdr:from>
      <xdr:col>26</xdr:col>
      <xdr:colOff>257174</xdr:colOff>
      <xdr:row>33</xdr:row>
      <xdr:rowOff>28576</xdr:rowOff>
    </xdr:from>
    <xdr:to>
      <xdr:col>28</xdr:col>
      <xdr:colOff>1142999</xdr:colOff>
      <xdr:row>34</xdr:row>
      <xdr:rowOff>66675</xdr:rowOff>
    </xdr:to>
    <xdr:sp macro="" textlink="">
      <xdr:nvSpPr>
        <xdr:cNvPr id="6" name="Tekstballon: rechthoek met afgeronde hoeken 5">
          <a:extLst>
            <a:ext uri="{FF2B5EF4-FFF2-40B4-BE49-F238E27FC236}">
              <a16:creationId xmlns:a16="http://schemas.microsoft.com/office/drawing/2014/main" id="{A9674E03-A3F5-4753-B150-FAC8C890B28E}"/>
            </a:ext>
          </a:extLst>
        </xdr:cNvPr>
        <xdr:cNvSpPr/>
      </xdr:nvSpPr>
      <xdr:spPr>
        <a:xfrm>
          <a:off x="13258799" y="6305551"/>
          <a:ext cx="2181225" cy="219074"/>
        </a:xfrm>
        <a:prstGeom prst="wedgeRoundRectCallout">
          <a:avLst>
            <a:gd name="adj1" fmla="val -1589"/>
            <a:gd name="adj2" fmla="val -128530"/>
            <a:gd name="adj3" fmla="val 16667"/>
          </a:avLst>
        </a:prstGeom>
        <a:solidFill>
          <a:srgbClr val="FFFFB7"/>
        </a:solidFill>
        <a:ln>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nl-NL" sz="900" i="1">
              <a:solidFill>
                <a:sysClr val="windowText" lastClr="000000"/>
              </a:solidFill>
              <a:effectLst/>
              <a:latin typeface="+mn-lt"/>
              <a:ea typeface="+mn-ea"/>
              <a:cs typeface="+mn-cs"/>
            </a:rPr>
            <a:t>De 2 groene waarden kunt u zelf aanpassen. </a:t>
          </a:r>
          <a:endParaRPr lang="nl-NL" sz="900">
            <a:solidFill>
              <a:sysClr val="windowText" lastClr="000000"/>
            </a:solidFill>
            <a:effectLst/>
          </a:endParaRPr>
        </a:p>
      </xdr:txBody>
    </xdr:sp>
    <xdr:clientData/>
  </xdr:twoCellAnchor>
  <xdr:twoCellAnchor>
    <xdr:from>
      <xdr:col>20</xdr:col>
      <xdr:colOff>180975</xdr:colOff>
      <xdr:row>24</xdr:row>
      <xdr:rowOff>47625</xdr:rowOff>
    </xdr:from>
    <xdr:to>
      <xdr:col>20</xdr:col>
      <xdr:colOff>381000</xdr:colOff>
      <xdr:row>28</xdr:row>
      <xdr:rowOff>171450</xdr:rowOff>
    </xdr:to>
    <xdr:sp macro="" textlink="">
      <xdr:nvSpPr>
        <xdr:cNvPr id="8" name="Pijl: omlaag 7">
          <a:extLst>
            <a:ext uri="{FF2B5EF4-FFF2-40B4-BE49-F238E27FC236}">
              <a16:creationId xmlns:a16="http://schemas.microsoft.com/office/drawing/2014/main" id="{EA62FE13-BF14-9E04-9E9D-C187F40659E5}"/>
            </a:ext>
          </a:extLst>
        </xdr:cNvPr>
        <xdr:cNvSpPr/>
      </xdr:nvSpPr>
      <xdr:spPr>
        <a:xfrm>
          <a:off x="7991475" y="4705350"/>
          <a:ext cx="200025" cy="876300"/>
        </a:xfrm>
        <a:prstGeom prst="downArrow">
          <a:avLst>
            <a:gd name="adj1" fmla="val 50000"/>
            <a:gd name="adj2" fmla="val 47222"/>
          </a:avLst>
        </a:prstGeom>
        <a:solidFill>
          <a:srgbClr val="00B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10118481" cy="6066692"/>
    <xdr:graphicFrame macro="">
      <xdr:nvGraphicFramePr>
        <xdr:cNvPr id="2" name="Grafiek 1">
          <a:extLst>
            <a:ext uri="{FF2B5EF4-FFF2-40B4-BE49-F238E27FC236}">
              <a16:creationId xmlns:a16="http://schemas.microsoft.com/office/drawing/2014/main" id="{31E90175-3870-35DB-27B8-1544807F7FF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0.21144</cdr:x>
      <cdr:y>0.17127</cdr:y>
    </cdr:from>
    <cdr:to>
      <cdr:x>0.60318</cdr:x>
      <cdr:y>0.23188</cdr:y>
    </cdr:to>
    <cdr:sp macro="" textlink="">
      <cdr:nvSpPr>
        <cdr:cNvPr id="26" name="Pijl: links/rechts 25">
          <a:extLst xmlns:a="http://schemas.openxmlformats.org/drawingml/2006/main">
            <a:ext uri="{FF2B5EF4-FFF2-40B4-BE49-F238E27FC236}">
              <a16:creationId xmlns:a16="http://schemas.microsoft.com/office/drawing/2014/main" id="{65834BB4-5E64-7CB1-BEC6-F3A5F30AFF61}"/>
            </a:ext>
          </a:extLst>
        </cdr:cNvPr>
        <cdr:cNvSpPr/>
      </cdr:nvSpPr>
      <cdr:spPr>
        <a:xfrm xmlns:a="http://schemas.openxmlformats.org/drawingml/2006/main">
          <a:off x="2139452" y="1039042"/>
          <a:ext cx="3963813" cy="367703"/>
        </a:xfrm>
        <a:prstGeom xmlns:a="http://schemas.openxmlformats.org/drawingml/2006/main" prst="leftRightArrow">
          <a:avLst>
            <a:gd name="adj1" fmla="val 50000"/>
            <a:gd name="adj2" fmla="val 44022"/>
          </a:avLst>
        </a:prstGeom>
        <a:gradFill xmlns:a="http://schemas.openxmlformats.org/drawingml/2006/main">
          <a:gsLst>
            <a:gs pos="0">
              <a:schemeClr val="accent6">
                <a:lumMod val="20000"/>
                <a:lumOff val="80000"/>
                <a:alpha val="60000"/>
              </a:schemeClr>
            </a:gs>
            <a:gs pos="52000">
              <a:schemeClr val="accent6">
                <a:lumMod val="60000"/>
                <a:lumOff val="40000"/>
              </a:schemeClr>
            </a:gs>
            <a:gs pos="100000">
              <a:schemeClr val="accent6">
                <a:lumMod val="20000"/>
                <a:lumOff val="80000"/>
              </a:schemeClr>
            </a:gs>
          </a:gsLst>
          <a:lin ang="10800000" scaled="1"/>
        </a:gra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nl-NL" sz="800">
              <a:solidFill>
                <a:sysClr val="windowText" lastClr="000000"/>
              </a:solidFill>
            </a:rPr>
            <a:t>T</a:t>
          </a:r>
          <a:r>
            <a:rPr lang="nl-NL" sz="800" baseline="-25000">
              <a:solidFill>
                <a:sysClr val="windowText" lastClr="000000"/>
              </a:solidFill>
            </a:rPr>
            <a:t>1</a:t>
          </a:r>
          <a:r>
            <a:rPr lang="nl-NL" sz="800">
              <a:solidFill>
                <a:sysClr val="windowText" lastClr="000000"/>
              </a:solidFill>
            </a:rPr>
            <a:t>                        Elga Ace </a:t>
          </a:r>
          <a:r>
            <a:rPr lang="nl-NL" sz="800">
              <a:solidFill>
                <a:schemeClr val="tx1"/>
              </a:solidFill>
            </a:rPr>
            <a:t>ondersteund</a:t>
          </a:r>
          <a:r>
            <a:rPr lang="nl-NL" sz="800" baseline="0">
              <a:solidFill>
                <a:schemeClr val="tx1"/>
              </a:solidFill>
            </a:rPr>
            <a:t> door </a:t>
          </a:r>
          <a:r>
            <a:rPr lang="nl-NL" sz="800">
              <a:solidFill>
                <a:schemeClr val="tx1"/>
              </a:solidFill>
            </a:rPr>
            <a:t>cv-ketel (hybride</a:t>
          </a:r>
          <a:r>
            <a:rPr lang="nl-NL" sz="800" baseline="0">
              <a:solidFill>
                <a:schemeClr val="tx1"/>
              </a:solidFill>
            </a:rPr>
            <a:t> modus)                               T</a:t>
          </a:r>
          <a:r>
            <a:rPr lang="nl-NL" sz="800" baseline="-25000">
              <a:solidFill>
                <a:schemeClr val="tx1"/>
              </a:solidFill>
            </a:rPr>
            <a:t>2</a:t>
          </a:r>
        </a:p>
      </cdr:txBody>
    </cdr:sp>
  </cdr:relSizeAnchor>
  <cdr:relSizeAnchor xmlns:cdr="http://schemas.openxmlformats.org/drawingml/2006/chartDrawing">
    <cdr:from>
      <cdr:x>0.48528</cdr:x>
      <cdr:y>0.10777</cdr:y>
    </cdr:from>
    <cdr:to>
      <cdr:x>0.75076</cdr:x>
      <cdr:y>0.15304</cdr:y>
    </cdr:to>
    <cdr:sp macro="" textlink="">
      <cdr:nvSpPr>
        <cdr:cNvPr id="12" name="Tekstvak 1">
          <a:extLst xmlns:a="http://schemas.openxmlformats.org/drawingml/2006/main">
            <a:ext uri="{FF2B5EF4-FFF2-40B4-BE49-F238E27FC236}">
              <a16:creationId xmlns:a16="http://schemas.microsoft.com/office/drawing/2014/main" id="{FB8C00DA-5CCA-375A-B5DC-A08AA1237544}"/>
            </a:ext>
          </a:extLst>
        </cdr:cNvPr>
        <cdr:cNvSpPr txBox="1"/>
      </cdr:nvSpPr>
      <cdr:spPr>
        <a:xfrm xmlns:a="http://schemas.openxmlformats.org/drawingml/2006/main">
          <a:off x="4910297" y="653795"/>
          <a:ext cx="2686255" cy="274639"/>
        </a:xfrm>
        <a:prstGeom xmlns:a="http://schemas.openxmlformats.org/drawingml/2006/main" prst="rect">
          <a:avLst/>
        </a:prstGeom>
        <a:solidFill xmlns:a="http://schemas.openxmlformats.org/drawingml/2006/main">
          <a:schemeClr val="accent6">
            <a:lumMod val="40000"/>
            <a:lumOff val="60000"/>
            <a:alpha val="50000"/>
          </a:schemeClr>
        </a:solidFill>
        <a:ln xmlns:a="http://schemas.openxmlformats.org/drawingml/2006/main">
          <a:solidFill>
            <a:schemeClr val="bg1">
              <a:lumMod val="65000"/>
            </a:schemeClr>
          </a:solidFill>
        </a:ln>
      </cdr:spPr>
      <cdr:txBody>
        <a:bodyPr xmlns:a="http://schemas.openxmlformats.org/drawingml/2006/main" wrap="square" lIns="36000" tIns="0" rIns="3600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900">
              <a:latin typeface="Calibri" panose="020F0502020204030204" pitchFamily="34" charset="0"/>
              <a:cs typeface="Calibri" panose="020F0502020204030204" pitchFamily="34" charset="0"/>
            </a:rPr>
            <a:t>HP000 = T</a:t>
          </a:r>
          <a:r>
            <a:rPr lang="nl-NL" sz="900" baseline="-25000">
              <a:latin typeface="Calibri" panose="020F0502020204030204" pitchFamily="34" charset="0"/>
              <a:cs typeface="Calibri" panose="020F0502020204030204" pitchFamily="34" charset="0"/>
            </a:rPr>
            <a:t>2</a:t>
          </a:r>
          <a:r>
            <a:rPr lang="nl-NL" sz="900">
              <a:latin typeface="Calibri" panose="020F0502020204030204" pitchFamily="34" charset="0"/>
              <a:cs typeface="Calibri" panose="020F0502020204030204" pitchFamily="34" charset="0"/>
            </a:rPr>
            <a:t> = bivalente temp. = cv-ketelgrens</a:t>
          </a:r>
        </a:p>
        <a:p xmlns:a="http://schemas.openxmlformats.org/drawingml/2006/main">
          <a:r>
            <a:rPr lang="nl-NL" sz="800">
              <a:latin typeface="Calibri" panose="020F0502020204030204" pitchFamily="34" charset="0"/>
              <a:cs typeface="Calibri" panose="020F0502020204030204" pitchFamily="34" charset="0"/>
            </a:rPr>
            <a:t>(fabrieksinstelling +15⁰C)</a:t>
          </a:r>
          <a:endParaRPr lang="nl-NL" sz="800"/>
        </a:p>
      </cdr:txBody>
    </cdr:sp>
  </cdr:relSizeAnchor>
  <cdr:relSizeAnchor xmlns:cdr="http://schemas.openxmlformats.org/drawingml/2006/chartDrawing">
    <cdr:from>
      <cdr:x>0.08595</cdr:x>
      <cdr:y>0.10913</cdr:y>
    </cdr:from>
    <cdr:to>
      <cdr:x>0.31209</cdr:x>
      <cdr:y>0.15304</cdr:y>
    </cdr:to>
    <cdr:sp macro="" textlink="">
      <cdr:nvSpPr>
        <cdr:cNvPr id="6" name="Tekstvak 1">
          <a:extLst xmlns:a="http://schemas.openxmlformats.org/drawingml/2006/main">
            <a:ext uri="{FF2B5EF4-FFF2-40B4-BE49-F238E27FC236}">
              <a16:creationId xmlns:a16="http://schemas.microsoft.com/office/drawing/2014/main" id="{44D5C12C-ED09-6734-7E0A-CCEB0FDFF440}"/>
            </a:ext>
          </a:extLst>
        </cdr:cNvPr>
        <cdr:cNvSpPr txBox="1"/>
      </cdr:nvSpPr>
      <cdr:spPr>
        <a:xfrm xmlns:a="http://schemas.openxmlformats.org/drawingml/2006/main">
          <a:off x="869673" y="662043"/>
          <a:ext cx="2288231" cy="266389"/>
        </a:xfrm>
        <a:prstGeom xmlns:a="http://schemas.openxmlformats.org/drawingml/2006/main" prst="rect">
          <a:avLst/>
        </a:prstGeom>
        <a:solidFill xmlns:a="http://schemas.openxmlformats.org/drawingml/2006/main">
          <a:schemeClr val="accent6">
            <a:lumMod val="40000"/>
            <a:lumOff val="60000"/>
            <a:alpha val="50000"/>
          </a:schemeClr>
        </a:solidFill>
        <a:ln xmlns:a="http://schemas.openxmlformats.org/drawingml/2006/main">
          <a:solidFill>
            <a:schemeClr val="bg1">
              <a:lumMod val="65000"/>
            </a:schemeClr>
          </a:solidFill>
        </a:ln>
      </cdr:spPr>
      <cdr:txBody>
        <a:bodyPr xmlns:a="http://schemas.openxmlformats.org/drawingml/2006/main" wrap="square" lIns="36000" tIns="0" rIns="3600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900">
              <a:latin typeface="Calibri" panose="020F0502020204030204" pitchFamily="34" charset="0"/>
              <a:cs typeface="Calibri" panose="020F0502020204030204" pitchFamily="34" charset="0"/>
            </a:rPr>
            <a:t>HP051 = T</a:t>
          </a:r>
          <a:r>
            <a:rPr lang="nl-NL" sz="900" baseline="-25000">
              <a:latin typeface="Calibri" panose="020F0502020204030204" pitchFamily="34" charset="0"/>
              <a:cs typeface="Calibri" panose="020F0502020204030204" pitchFamily="34" charset="0"/>
            </a:rPr>
            <a:t>1</a:t>
          </a:r>
          <a:r>
            <a:rPr lang="nl-NL" sz="900">
              <a:latin typeface="Calibri" panose="020F0502020204030204" pitchFamily="34" charset="0"/>
              <a:cs typeface="Calibri" panose="020F0502020204030204" pitchFamily="34" charset="0"/>
            </a:rPr>
            <a:t> = min. buitentemp. WP = wp-grens</a:t>
          </a:r>
        </a:p>
        <a:p xmlns:a="http://schemas.openxmlformats.org/drawingml/2006/main">
          <a:r>
            <a:rPr lang="nl-NL" sz="800">
              <a:latin typeface="Calibri" panose="020F0502020204030204" pitchFamily="34" charset="0"/>
              <a:cs typeface="Calibri" panose="020F0502020204030204" pitchFamily="34" charset="0"/>
            </a:rPr>
            <a:t>(fabrieksinstelling -15</a:t>
          </a:r>
          <a:r>
            <a:rPr lang="nl-NL" sz="800" baseline="0">
              <a:latin typeface="Calibri" panose="020F0502020204030204" pitchFamily="34" charset="0"/>
              <a:cs typeface="Calibri" panose="020F0502020204030204" pitchFamily="34" charset="0"/>
            </a:rPr>
            <a:t>⁰C</a:t>
          </a:r>
          <a:r>
            <a:rPr lang="nl-NL" sz="800" baseline="0">
              <a:solidFill>
                <a:sysClr val="windowText" lastClr="000000"/>
              </a:solidFill>
              <a:latin typeface="+mn-lt"/>
              <a:cs typeface="Calibri" panose="020F0502020204030204" pitchFamily="34" charset="0"/>
            </a:rPr>
            <a:t>)</a:t>
          </a:r>
          <a:endParaRPr lang="nl-NL" sz="800">
            <a:solidFill>
              <a:sysClr val="windowText" lastClr="000000"/>
            </a:solidFill>
            <a:latin typeface="+mn-lt"/>
          </a:endParaRPr>
        </a:p>
      </cdr:txBody>
    </cdr:sp>
  </cdr:relSizeAnchor>
  <cdr:relSizeAnchor xmlns:cdr="http://schemas.openxmlformats.org/drawingml/2006/chartDrawing">
    <cdr:from>
      <cdr:x>0.7958</cdr:x>
      <cdr:y>0.34058</cdr:y>
    </cdr:from>
    <cdr:to>
      <cdr:x>0.96504</cdr:x>
      <cdr:y>0.36594</cdr:y>
    </cdr:to>
    <cdr:sp macro="" textlink="">
      <cdr:nvSpPr>
        <cdr:cNvPr id="16" name="Tekstvak 1">
          <a:extLst xmlns:a="http://schemas.openxmlformats.org/drawingml/2006/main">
            <a:ext uri="{FF2B5EF4-FFF2-40B4-BE49-F238E27FC236}">
              <a16:creationId xmlns:a16="http://schemas.microsoft.com/office/drawing/2014/main" id="{C1AF391B-3F81-BA13-341B-13F6BCB65001}"/>
            </a:ext>
          </a:extLst>
        </cdr:cNvPr>
        <cdr:cNvSpPr txBox="1"/>
      </cdr:nvSpPr>
      <cdr:spPr>
        <a:xfrm xmlns:a="http://schemas.openxmlformats.org/drawingml/2006/main">
          <a:off x="8052287" y="2066194"/>
          <a:ext cx="1712451" cy="153864"/>
        </a:xfrm>
        <a:prstGeom xmlns:a="http://schemas.openxmlformats.org/drawingml/2006/main" prst="rect">
          <a:avLst/>
        </a:prstGeom>
        <a:solidFill xmlns:a="http://schemas.openxmlformats.org/drawingml/2006/main">
          <a:schemeClr val="accent4">
            <a:lumMod val="20000"/>
            <a:lumOff val="80000"/>
            <a:alpha val="50000"/>
          </a:schemeClr>
        </a:solidFill>
        <a:ln xmlns:a="http://schemas.openxmlformats.org/drawingml/2006/main">
          <a:solidFill>
            <a:schemeClr val="bg1">
              <a:lumMod val="65000"/>
              <a:alpha val="50000"/>
            </a:schemeClr>
          </a:solidFill>
        </a:ln>
      </cdr:spPr>
      <cdr:txBody>
        <a:bodyPr xmlns:a="http://schemas.openxmlformats.org/drawingml/2006/main" wrap="square" lIns="36000" tIns="0" rIns="36000" bIns="0"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nl-NL" sz="900" i="1">
              <a:solidFill>
                <a:srgbClr val="FF0000"/>
              </a:solidFill>
            </a:rPr>
            <a:t>max. mogelijke T</a:t>
          </a:r>
          <a:r>
            <a:rPr lang="nl-NL" sz="900" i="1" baseline="0">
              <a:solidFill>
                <a:srgbClr val="FF0000"/>
              </a:solidFill>
            </a:rPr>
            <a:t>a</a:t>
          </a:r>
          <a:r>
            <a:rPr lang="nl-NL" sz="900" i="1">
              <a:solidFill>
                <a:srgbClr val="FF0000"/>
              </a:solidFill>
            </a:rPr>
            <a:t> Elga Ace = 55</a:t>
          </a:r>
          <a:r>
            <a:rPr lang="nl-NL" sz="900" i="0">
              <a:solidFill>
                <a:srgbClr val="FF0000"/>
              </a:solidFill>
              <a:effectLst/>
              <a:latin typeface="+mn-lt"/>
              <a:ea typeface="+mn-ea"/>
              <a:cs typeface="+mn-cs"/>
            </a:rPr>
            <a:t>⁰C</a:t>
          </a:r>
          <a:endParaRPr lang="nl-NL" sz="900" i="1">
            <a:solidFill>
              <a:srgbClr val="FF0000"/>
            </a:solidFill>
          </a:endParaRPr>
        </a:p>
      </cdr:txBody>
    </cdr:sp>
  </cdr:relSizeAnchor>
  <cdr:relSizeAnchor xmlns:cdr="http://schemas.openxmlformats.org/drawingml/2006/chartDrawing">
    <cdr:from>
      <cdr:x>0.61405</cdr:x>
      <cdr:y>0.17208</cdr:y>
    </cdr:from>
    <cdr:to>
      <cdr:x>0.98045</cdr:x>
      <cdr:y>0.23261</cdr:y>
    </cdr:to>
    <cdr:sp macro="" textlink="">
      <cdr:nvSpPr>
        <cdr:cNvPr id="24" name="Pijl: links/rechts 23">
          <a:extLst xmlns:a="http://schemas.openxmlformats.org/drawingml/2006/main">
            <a:ext uri="{FF2B5EF4-FFF2-40B4-BE49-F238E27FC236}">
              <a16:creationId xmlns:a16="http://schemas.microsoft.com/office/drawing/2014/main" id="{DE5669CB-9C22-862A-224D-E81BC0621426}"/>
            </a:ext>
          </a:extLst>
        </cdr:cNvPr>
        <cdr:cNvSpPr/>
      </cdr:nvSpPr>
      <cdr:spPr>
        <a:xfrm xmlns:a="http://schemas.openxmlformats.org/drawingml/2006/main">
          <a:off x="6213231" y="1043955"/>
          <a:ext cx="3707434" cy="367200"/>
        </a:xfrm>
        <a:prstGeom xmlns:a="http://schemas.openxmlformats.org/drawingml/2006/main" prst="leftRightArrow">
          <a:avLst/>
        </a:prstGeom>
        <a:gradFill xmlns:a="http://schemas.openxmlformats.org/drawingml/2006/main" flip="none" rotWithShape="1">
          <a:gsLst>
            <a:gs pos="0">
              <a:schemeClr val="accent2">
                <a:lumMod val="20000"/>
                <a:lumOff val="80000"/>
                <a:alpha val="60000"/>
              </a:schemeClr>
            </a:gs>
            <a:gs pos="58000">
              <a:schemeClr val="accent2">
                <a:lumMod val="60000"/>
                <a:lumOff val="40000"/>
              </a:schemeClr>
            </a:gs>
            <a:gs pos="100000">
              <a:schemeClr val="accent2"/>
            </a:gs>
          </a:gsLst>
          <a:lin ang="0" scaled="0"/>
          <a:tileRect/>
        </a:gra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nl-NL" sz="800">
              <a:solidFill>
                <a:schemeClr val="tx1"/>
              </a:solidFill>
            </a:rPr>
            <a:t>T</a:t>
          </a:r>
          <a:r>
            <a:rPr lang="nl-NL" sz="800" baseline="-25000">
              <a:solidFill>
                <a:schemeClr val="tx1"/>
              </a:solidFill>
            </a:rPr>
            <a:t>2</a:t>
          </a:r>
          <a:r>
            <a:rPr lang="nl-NL" sz="800">
              <a:solidFill>
                <a:schemeClr val="tx1"/>
              </a:solidFill>
            </a:rPr>
            <a:t>               alleen Elga Ace, cv-ketel mag niet aan (warmtepompmodus)</a:t>
          </a:r>
        </a:p>
      </cdr:txBody>
    </cdr:sp>
  </cdr:relSizeAnchor>
  <cdr:relSizeAnchor xmlns:cdr="http://schemas.openxmlformats.org/drawingml/2006/chartDrawing">
    <cdr:from>
      <cdr:x>0.02041</cdr:x>
      <cdr:y>0.17121</cdr:y>
    </cdr:from>
    <cdr:to>
      <cdr:x>0.19696</cdr:x>
      <cdr:y>0.23174</cdr:y>
    </cdr:to>
    <cdr:sp macro="" textlink="">
      <cdr:nvSpPr>
        <cdr:cNvPr id="7" name="Pijl: links/rechts 6">
          <a:extLst xmlns:a="http://schemas.openxmlformats.org/drawingml/2006/main">
            <a:ext uri="{FF2B5EF4-FFF2-40B4-BE49-F238E27FC236}">
              <a16:creationId xmlns:a16="http://schemas.microsoft.com/office/drawing/2014/main" id="{7E5B8ADE-87A5-1F51-1F9B-A0BF112FE2AC}"/>
            </a:ext>
          </a:extLst>
        </cdr:cNvPr>
        <cdr:cNvSpPr/>
      </cdr:nvSpPr>
      <cdr:spPr>
        <a:xfrm xmlns:a="http://schemas.openxmlformats.org/drawingml/2006/main">
          <a:off x="206477" y="1038689"/>
          <a:ext cx="1786446" cy="367200"/>
        </a:xfrm>
        <a:prstGeom xmlns:a="http://schemas.openxmlformats.org/drawingml/2006/main" prst="leftRightArrow">
          <a:avLst>
            <a:gd name="adj1" fmla="val 50000"/>
            <a:gd name="adj2" fmla="val 50000"/>
          </a:avLst>
        </a:prstGeom>
        <a:gradFill xmlns:a="http://schemas.openxmlformats.org/drawingml/2006/main" flip="none" rotWithShape="1">
          <a:gsLst>
            <a:gs pos="0">
              <a:schemeClr val="accent5">
                <a:lumMod val="20000"/>
                <a:lumOff val="80000"/>
                <a:alpha val="60000"/>
              </a:schemeClr>
            </a:gs>
            <a:gs pos="54000">
              <a:schemeClr val="accent5">
                <a:lumMod val="40000"/>
                <a:lumOff val="60000"/>
              </a:schemeClr>
            </a:gs>
            <a:gs pos="100000">
              <a:schemeClr val="accent1"/>
            </a:gs>
          </a:gsLst>
          <a:lin ang="10800000" scaled="1"/>
          <a:tileRect/>
        </a:gra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a:r>
            <a:rPr lang="nl-NL" sz="800">
              <a:solidFill>
                <a:sysClr val="windowText" lastClr="000000"/>
              </a:solidFill>
            </a:rPr>
            <a:t>alleen </a:t>
          </a:r>
          <a:r>
            <a:rPr lang="nl-NL" sz="800">
              <a:solidFill>
                <a:schemeClr val="tx1"/>
              </a:solidFill>
            </a:rPr>
            <a:t>cv-ketel (ketelmodus)   T</a:t>
          </a:r>
          <a:r>
            <a:rPr lang="nl-NL" sz="800" baseline="-25000">
              <a:solidFill>
                <a:schemeClr val="tx1"/>
              </a:solidFill>
            </a:rPr>
            <a:t>1</a:t>
          </a:r>
        </a:p>
      </cdr:txBody>
    </cdr:sp>
  </cdr:relSizeAnchor>
  <cdr:relSizeAnchor xmlns:cdr="http://schemas.openxmlformats.org/drawingml/2006/chartDrawing">
    <cdr:from>
      <cdr:x>0.3331</cdr:x>
      <cdr:y>0.06401</cdr:y>
    </cdr:from>
    <cdr:to>
      <cdr:x>0.37654</cdr:x>
      <cdr:y>0.09058</cdr:y>
    </cdr:to>
    <cdr:sp macro="" textlink="'Ta stooklijnen'!$C$7">
      <cdr:nvSpPr>
        <cdr:cNvPr id="5" name="Tekstvak 4">
          <a:extLst xmlns:a="http://schemas.openxmlformats.org/drawingml/2006/main">
            <a:ext uri="{FF2B5EF4-FFF2-40B4-BE49-F238E27FC236}">
              <a16:creationId xmlns:a16="http://schemas.microsoft.com/office/drawing/2014/main" id="{F48CE1EE-0F45-E45B-E0DF-1A66B9D314E7}"/>
            </a:ext>
          </a:extLst>
        </cdr:cNvPr>
        <cdr:cNvSpPr txBox="1"/>
      </cdr:nvSpPr>
      <cdr:spPr>
        <a:xfrm xmlns:a="http://schemas.openxmlformats.org/drawingml/2006/main">
          <a:off x="3370466" y="388315"/>
          <a:ext cx="439547" cy="161192"/>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fld id="{7892A153-42B3-4EF2-982F-5B69FD19D4B6}" type="TxLink">
            <a:rPr lang="en-US" sz="1200" b="1" i="0" u="none" strike="noStrike">
              <a:solidFill>
                <a:srgbClr val="00B050"/>
              </a:solidFill>
              <a:latin typeface="Arial"/>
              <a:cs typeface="Arial"/>
            </a:rPr>
            <a:pPr/>
            <a:t>15,0⁰</a:t>
          </a:fld>
          <a:endParaRPr lang="nl-NL" sz="1200" b="0" i="1">
            <a:solidFill>
              <a:srgbClr val="00B050"/>
            </a:solidFill>
            <a:latin typeface="+mn-lt"/>
          </a:endParaRPr>
        </a:p>
      </cdr:txBody>
    </cdr:sp>
  </cdr:relSizeAnchor>
  <cdr:relSizeAnchor xmlns:cdr="http://schemas.openxmlformats.org/drawingml/2006/chartDrawing">
    <cdr:from>
      <cdr:x>0.50759</cdr:x>
      <cdr:y>0.06159</cdr:y>
    </cdr:from>
    <cdr:to>
      <cdr:x>0.53657</cdr:x>
      <cdr:y>0.093</cdr:y>
    </cdr:to>
    <cdr:sp macro="" textlink="'Ta stooklijnen'!$C$5">
      <cdr:nvSpPr>
        <cdr:cNvPr id="13" name="Tekstvak 12">
          <a:extLst xmlns:a="http://schemas.openxmlformats.org/drawingml/2006/main">
            <a:ext uri="{FF2B5EF4-FFF2-40B4-BE49-F238E27FC236}">
              <a16:creationId xmlns:a16="http://schemas.microsoft.com/office/drawing/2014/main" id="{CA752CCE-9636-3E1A-C502-CDB7B0EDA80F}"/>
            </a:ext>
          </a:extLst>
        </cdr:cNvPr>
        <cdr:cNvSpPr txBox="1"/>
      </cdr:nvSpPr>
      <cdr:spPr>
        <a:xfrm xmlns:a="http://schemas.openxmlformats.org/drawingml/2006/main">
          <a:off x="5136068" y="373648"/>
          <a:ext cx="293234" cy="19055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fld id="{7CF4F4D9-E54E-487C-B2B5-F7A4021F01A9}" type="TxLink">
            <a:rPr lang="en-US" sz="1200" b="1" i="1" u="none" strike="noStrike">
              <a:solidFill>
                <a:srgbClr val="00B050"/>
              </a:solidFill>
              <a:latin typeface="Arial"/>
              <a:cs typeface="Arial"/>
            </a:rPr>
            <a:pPr/>
            <a:t>0,8</a:t>
          </a:fld>
          <a:endParaRPr lang="nl-NL" sz="1200" i="1">
            <a:solidFill>
              <a:srgbClr val="00B050"/>
            </a:solidFill>
          </a:endParaRPr>
        </a:p>
      </cdr:txBody>
    </cdr:sp>
  </cdr:relSizeAnchor>
  <cdr:relSizeAnchor xmlns:cdr="http://schemas.openxmlformats.org/drawingml/2006/chartDrawing">
    <cdr:from>
      <cdr:x>0.79652</cdr:x>
      <cdr:y>0.2463</cdr:y>
    </cdr:from>
    <cdr:to>
      <cdr:x>0.96448</cdr:x>
      <cdr:y>0.28131</cdr:y>
    </cdr:to>
    <cdr:sp macro="" textlink="">
      <cdr:nvSpPr>
        <cdr:cNvPr id="2" name="Tekstvak 1">
          <a:extLst xmlns:a="http://schemas.openxmlformats.org/drawingml/2006/main">
            <a:ext uri="{FF2B5EF4-FFF2-40B4-BE49-F238E27FC236}">
              <a16:creationId xmlns:a16="http://schemas.microsoft.com/office/drawing/2014/main" id="{4A40A4C9-1624-1F1D-6916-AC6C6B5D90EA}"/>
            </a:ext>
          </a:extLst>
        </cdr:cNvPr>
        <cdr:cNvSpPr txBox="1"/>
      </cdr:nvSpPr>
      <cdr:spPr>
        <a:xfrm xmlns:a="http://schemas.openxmlformats.org/drawingml/2006/main">
          <a:off x="8059615" y="1494226"/>
          <a:ext cx="1699458" cy="212395"/>
        </a:xfrm>
        <a:prstGeom xmlns:a="http://schemas.openxmlformats.org/drawingml/2006/main" prst="rect">
          <a:avLst/>
        </a:prstGeom>
        <a:solidFill xmlns:a="http://schemas.openxmlformats.org/drawingml/2006/main">
          <a:srgbClr val="FFFFB7">
            <a:alpha val="50000"/>
          </a:srgbClr>
        </a:solidFill>
        <a:ln xmlns:a="http://schemas.openxmlformats.org/drawingml/2006/main">
          <a:solidFill>
            <a:schemeClr val="bg1">
              <a:lumMod val="75000"/>
              <a:alpha val="50000"/>
            </a:schemeClr>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nl-NL" sz="900"/>
            <a:t>Offset Ruimtecorrectie is </a:t>
          </a:r>
        </a:p>
      </cdr:txBody>
    </cdr:sp>
  </cdr:relSizeAnchor>
  <cdr:relSizeAnchor xmlns:cdr="http://schemas.openxmlformats.org/drawingml/2006/chartDrawing">
    <cdr:from>
      <cdr:x>0.92685</cdr:x>
      <cdr:y>0.25363</cdr:y>
    </cdr:from>
    <cdr:to>
      <cdr:x>0.96668</cdr:x>
      <cdr:y>0.27295</cdr:y>
    </cdr:to>
    <cdr:sp macro="" textlink="'Ta stooklijnen'!$AA$32">
      <cdr:nvSpPr>
        <cdr:cNvPr id="3" name="Tekstvak 1">
          <a:extLst xmlns:a="http://schemas.openxmlformats.org/drawingml/2006/main">
            <a:ext uri="{FF2B5EF4-FFF2-40B4-BE49-F238E27FC236}">
              <a16:creationId xmlns:a16="http://schemas.microsoft.com/office/drawing/2014/main" id="{0701CD8E-5860-DF50-566D-BEB39128B002}"/>
            </a:ext>
          </a:extLst>
        </cdr:cNvPr>
        <cdr:cNvSpPr txBox="1"/>
      </cdr:nvSpPr>
      <cdr:spPr>
        <a:xfrm xmlns:a="http://schemas.openxmlformats.org/drawingml/2006/main">
          <a:off x="9378344" y="1538695"/>
          <a:ext cx="403019" cy="117209"/>
        </a:xfrm>
        <a:prstGeom xmlns:a="http://schemas.openxmlformats.org/drawingml/2006/main" prst="rect">
          <a:avLst/>
        </a:prstGeom>
      </cdr:spPr>
      <cdr:txBody>
        <a:bodyPr xmlns:a="http://schemas.openxmlformats.org/drawingml/2006/main" wrap="squar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977BA4A7-E343-4049-99EE-0DDF5034B911}" type="TxLink">
            <a:rPr lang="en-US" sz="1200" b="1" i="1" u="none" strike="noStrike">
              <a:solidFill>
                <a:srgbClr val="FF0000"/>
              </a:solidFill>
              <a:latin typeface="Arial"/>
              <a:cs typeface="Arial"/>
            </a:rPr>
            <a:pPr algn="l"/>
            <a:t>0,0⁰</a:t>
          </a:fld>
          <a:endParaRPr lang="nl-NL" sz="1200" i="1">
            <a:solidFill>
              <a:srgbClr val="FF0000"/>
            </a:solidFill>
          </a:endParaRPr>
        </a:p>
      </cdr:txBody>
    </cdr:sp>
  </cdr:relSizeAnchor>
  <cdr:relSizeAnchor xmlns:cdr="http://schemas.openxmlformats.org/drawingml/2006/chartDrawing">
    <cdr:from>
      <cdr:x>0.64586</cdr:x>
      <cdr:y>0.06152</cdr:y>
    </cdr:from>
    <cdr:to>
      <cdr:x>0.68139</cdr:x>
      <cdr:y>0.09534</cdr:y>
    </cdr:to>
    <cdr:sp macro="" textlink="'Ta stooklijnen'!$AC$32">
      <cdr:nvSpPr>
        <cdr:cNvPr id="4" name="Tekstvak 1">
          <a:extLst xmlns:a="http://schemas.openxmlformats.org/drawingml/2006/main">
            <a:ext uri="{FF2B5EF4-FFF2-40B4-BE49-F238E27FC236}">
              <a16:creationId xmlns:a16="http://schemas.microsoft.com/office/drawing/2014/main" id="{D29BF0E2-ECC6-C015-24E0-189FF3A2AC8B}"/>
            </a:ext>
          </a:extLst>
        </cdr:cNvPr>
        <cdr:cNvSpPr txBox="1"/>
      </cdr:nvSpPr>
      <cdr:spPr>
        <a:xfrm xmlns:a="http://schemas.openxmlformats.org/drawingml/2006/main">
          <a:off x="6535133" y="373209"/>
          <a:ext cx="359509" cy="205176"/>
        </a:xfrm>
        <a:prstGeom xmlns:a="http://schemas.openxmlformats.org/drawingml/2006/main" prst="rect">
          <a:avLst/>
        </a:prstGeom>
      </cdr:spPr>
      <cdr:txBody>
        <a:bodyPr xmlns:a="http://schemas.openxmlformats.org/drawingml/2006/main" wrap="squar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9E7D1A4-5C74-4A52-9714-6584671881D1}" type="TxLink">
            <a:rPr lang="en-US" sz="1200" b="1" i="0" u="none" strike="noStrike">
              <a:solidFill>
                <a:srgbClr val="00B050"/>
              </a:solidFill>
              <a:latin typeface="Arial"/>
              <a:cs typeface="Arial"/>
            </a:rPr>
            <a:pPr/>
            <a:t>19,5⁰</a:t>
          </a:fld>
          <a:endParaRPr lang="nl-NL" sz="1200" i="1">
            <a:solidFill>
              <a:srgbClr val="00B050"/>
            </a:solidFill>
          </a:endParaRPr>
        </a:p>
      </cdr:txBody>
    </cdr:sp>
  </cdr:relSizeAnchor>
  <cdr:relSizeAnchor xmlns:cdr="http://schemas.openxmlformats.org/drawingml/2006/chartDrawing">
    <cdr:from>
      <cdr:x>0.73932</cdr:x>
      <cdr:y>0.06151</cdr:y>
    </cdr:from>
    <cdr:to>
      <cdr:x>0.78059</cdr:x>
      <cdr:y>0.09533</cdr:y>
    </cdr:to>
    <cdr:sp macro="" textlink="'Ta stooklijnen'!Tk_gewenst">
      <cdr:nvSpPr>
        <cdr:cNvPr id="8" name="Tekstvak 1">
          <a:extLst xmlns:a="http://schemas.openxmlformats.org/drawingml/2006/main">
            <a:ext uri="{FF2B5EF4-FFF2-40B4-BE49-F238E27FC236}">
              <a16:creationId xmlns:a16="http://schemas.microsoft.com/office/drawing/2014/main" id="{842D6141-E6D0-E4BC-5A6A-F6EC588B4AEC}"/>
            </a:ext>
          </a:extLst>
        </cdr:cNvPr>
        <cdr:cNvSpPr txBox="1"/>
      </cdr:nvSpPr>
      <cdr:spPr>
        <a:xfrm xmlns:a="http://schemas.openxmlformats.org/drawingml/2006/main">
          <a:off x="7480818" y="373135"/>
          <a:ext cx="417589" cy="205175"/>
        </a:xfrm>
        <a:prstGeom xmlns:a="http://schemas.openxmlformats.org/drawingml/2006/main" prst="rect">
          <a:avLst/>
        </a:prstGeom>
      </cdr:spPr>
      <cdr:txBody>
        <a:bodyPr xmlns:a="http://schemas.openxmlformats.org/drawingml/2006/main" wrap="squar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8725217-297E-425E-BB90-89BFF1B9A5A0}" type="TxLink">
            <a:rPr lang="en-US" sz="1200" b="1" i="0" u="none" strike="noStrike">
              <a:solidFill>
                <a:srgbClr val="7030A0"/>
              </a:solidFill>
              <a:latin typeface="Arial"/>
              <a:cs typeface="Arial"/>
            </a:rPr>
            <a:pPr/>
            <a:t>19,5⁰</a:t>
          </a:fld>
          <a:endParaRPr lang="nl-NL" sz="1200" i="1">
            <a:solidFill>
              <a:srgbClr val="7030A0"/>
            </a:solidFill>
          </a:endParaRPr>
        </a:p>
      </cdr:txBody>
    </cdr:sp>
  </cdr:relSizeAnchor>
  <cdr:relSizeAnchor xmlns:cdr="http://schemas.openxmlformats.org/drawingml/2006/chartDrawing">
    <cdr:from>
      <cdr:x>0.83413</cdr:x>
      <cdr:y>0.06031</cdr:y>
    </cdr:from>
    <cdr:to>
      <cdr:x>0.86966</cdr:x>
      <cdr:y>0.09413</cdr:y>
    </cdr:to>
    <cdr:sp macro="" textlink="[0]!Tb_sensor">
      <cdr:nvSpPr>
        <cdr:cNvPr id="9" name="Tekstvak 1">
          <a:extLst xmlns:a="http://schemas.openxmlformats.org/drawingml/2006/main">
            <a:ext uri="{FF2B5EF4-FFF2-40B4-BE49-F238E27FC236}">
              <a16:creationId xmlns:a16="http://schemas.microsoft.com/office/drawing/2014/main" id="{B66EE3D6-BEC8-45D9-646D-69B8448B635E}"/>
            </a:ext>
          </a:extLst>
        </cdr:cNvPr>
        <cdr:cNvSpPr txBox="1"/>
      </cdr:nvSpPr>
      <cdr:spPr>
        <a:xfrm xmlns:a="http://schemas.openxmlformats.org/drawingml/2006/main">
          <a:off x="8440110" y="365882"/>
          <a:ext cx="359510" cy="205176"/>
        </a:xfrm>
        <a:prstGeom xmlns:a="http://schemas.openxmlformats.org/drawingml/2006/main" prst="rect">
          <a:avLst/>
        </a:prstGeom>
      </cdr:spPr>
      <cdr:txBody>
        <a:bodyPr xmlns:a="http://schemas.openxmlformats.org/drawingml/2006/main" wrap="squar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7016D79-3387-4C3E-B3BD-E597D50BE4AD}" type="TxLink">
            <a:rPr lang="en-US" sz="1200" b="1" i="1" u="none" strike="noStrike">
              <a:solidFill>
                <a:srgbClr val="7030A0"/>
              </a:solidFill>
              <a:latin typeface="Arial"/>
              <a:cs typeface="Arial"/>
            </a:rPr>
            <a:pPr/>
            <a:t>2⁰</a:t>
          </a:fld>
          <a:endParaRPr lang="nl-NL" sz="1200" i="1">
            <a:solidFill>
              <a:srgbClr val="7030A0"/>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3</xdr:col>
      <xdr:colOff>158751</xdr:colOff>
      <xdr:row>18</xdr:row>
      <xdr:rowOff>158747</xdr:rowOff>
    </xdr:from>
    <xdr:to>
      <xdr:col>5</xdr:col>
      <xdr:colOff>158751</xdr:colOff>
      <xdr:row>22</xdr:row>
      <xdr:rowOff>21164</xdr:rowOff>
    </xdr:to>
    <xdr:sp macro="" textlink="">
      <xdr:nvSpPr>
        <xdr:cNvPr id="3" name="Tekstballon: rechthoek met afgeronde hoeken 2">
          <a:extLst>
            <a:ext uri="{FF2B5EF4-FFF2-40B4-BE49-F238E27FC236}">
              <a16:creationId xmlns:a16="http://schemas.microsoft.com/office/drawing/2014/main" id="{F32812DB-A3E8-4652-BABB-FC43B8E3DADA}"/>
            </a:ext>
          </a:extLst>
        </xdr:cNvPr>
        <xdr:cNvSpPr/>
      </xdr:nvSpPr>
      <xdr:spPr>
        <a:xfrm>
          <a:off x="3291418" y="3704164"/>
          <a:ext cx="1629833" cy="592667"/>
        </a:xfrm>
        <a:prstGeom prst="wedgeRoundRectCallout">
          <a:avLst>
            <a:gd name="adj1" fmla="val 8025"/>
            <a:gd name="adj2" fmla="val -126684"/>
            <a:gd name="adj3" fmla="val 16667"/>
          </a:avLst>
        </a:prstGeom>
        <a:solidFill>
          <a:srgbClr val="FFFFB7"/>
        </a:solidFill>
        <a:ln>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nl-NL" sz="1100" i="1">
              <a:solidFill>
                <a:sysClr val="windowText" lastClr="000000"/>
              </a:solidFill>
              <a:effectLst/>
              <a:latin typeface="+mn-lt"/>
              <a:ea typeface="+mn-ea"/>
              <a:cs typeface="+mn-cs"/>
            </a:rPr>
            <a:t>De rode waarden kunt u zelf aanpassen. Zie rode stippellijn in de grafiek.</a:t>
          </a:r>
          <a:endParaRPr lang="nl-NL">
            <a:solidFill>
              <a:sysClr val="windowText" lastClr="000000"/>
            </a:solidFill>
            <a:effectLst/>
          </a:endParaRPr>
        </a:p>
      </xdr:txBody>
    </xdr:sp>
    <xdr:clientData/>
  </xdr:twoCellAnchor>
  <xdr:twoCellAnchor>
    <xdr:from>
      <xdr:col>1</xdr:col>
      <xdr:colOff>0</xdr:colOff>
      <xdr:row>38</xdr:row>
      <xdr:rowOff>0</xdr:rowOff>
    </xdr:from>
    <xdr:to>
      <xdr:col>13</xdr:col>
      <xdr:colOff>603249</xdr:colOff>
      <xdr:row>47</xdr:row>
      <xdr:rowOff>148167</xdr:rowOff>
    </xdr:to>
    <xdr:sp macro="" textlink="">
      <xdr:nvSpPr>
        <xdr:cNvPr id="5" name="Tekstvak 4">
          <a:extLst>
            <a:ext uri="{FF2B5EF4-FFF2-40B4-BE49-F238E27FC236}">
              <a16:creationId xmlns:a16="http://schemas.microsoft.com/office/drawing/2014/main" id="{E86FD68B-CF51-4D76-ADCB-2C4FA39243E4}"/>
            </a:ext>
          </a:extLst>
        </xdr:cNvPr>
        <xdr:cNvSpPr txBox="1"/>
      </xdr:nvSpPr>
      <xdr:spPr>
        <a:xfrm>
          <a:off x="275167" y="7175500"/>
          <a:ext cx="10022415" cy="1767417"/>
        </a:xfrm>
        <a:prstGeom prst="rect">
          <a:avLst/>
        </a:prstGeom>
        <a:solidFill>
          <a:srgbClr val="FFFFB7"/>
        </a:solidFill>
        <a:ln w="635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a:t>Het is mogelijk om het door de Elga Ace berekende opstartmoment van de gasketel voor ruimteverwarming</a:t>
          </a:r>
          <a:r>
            <a:rPr lang="nl-NL" sz="1100" baseline="0"/>
            <a:t> uit te stellen. Dit kan met een vaste tijdswaarde, of met tijdswaarden die afhankelijk zijn van de buitentemperatuur (Tb). De standaardwaarden van de betreffende parameters (HP030 en HP047 t/m HP050) staan in de derde kolom van de tabel linksboven op dit tabblad. Deze standaardwaarden zullen in de meeste situaties voldoen.</a:t>
          </a:r>
        </a:p>
        <a:p>
          <a:pPr algn="ctr"/>
          <a:endParaRPr lang="nl-NL" sz="1100" baseline="0"/>
        </a:p>
        <a:p>
          <a:pPr algn="ctr"/>
          <a:r>
            <a:rPr lang="nl-NL" sz="1100" baseline="0"/>
            <a:t>Voor een vaste tijdswaarde dient HP030 de waarde van tussen de 1 minuut en 600 minuten te hebben </a:t>
          </a:r>
          <a:r>
            <a:rPr lang="nl-NL" sz="1100" b="1" baseline="0"/>
            <a:t>(in deze spreadsheet tot max. 60 minuten!)</a:t>
          </a:r>
          <a:r>
            <a:rPr lang="nl-NL" sz="1100" baseline="0"/>
            <a:t>. Gezien het trage karakter van het opwarmen met de Elga Ace lijkt mij dat het instellen van een hoge waarde van HP030 meestal niet verstandig is, en zeker niet bij lage buitentemperaturen.</a:t>
          </a:r>
        </a:p>
        <a:p>
          <a:pPr algn="ctr"/>
          <a:endParaRPr lang="nl-NL" sz="1100" baseline="0"/>
        </a:p>
        <a:p>
          <a:pPr algn="ctr"/>
          <a:r>
            <a:rPr lang="nl-NL" sz="1100" baseline="0"/>
            <a:t>Voor buitentemperatuurafhankelijke tijdswaarden dient HP030 de waarde 0 te hebben, en kan de gebruiker de waarden van de parameters HP047 t/m HP050 - binnen de geldige limieten - eventueel zelf kiezen. Pas de rode waarden in de 2 tabellen linksboven aan om uw persoonlijke vertragingslijn zichtbaar te maken in de grafiek.</a:t>
          </a:r>
          <a:endParaRPr lang="nl-NL" sz="1100"/>
        </a:p>
      </xdr:txBody>
    </xdr:sp>
    <xdr:clientData/>
  </xdr:twoCellAnchor>
  <xdr:twoCellAnchor>
    <xdr:from>
      <xdr:col>3</xdr:col>
      <xdr:colOff>349250</xdr:colOff>
      <xdr:row>9</xdr:row>
      <xdr:rowOff>127000</xdr:rowOff>
    </xdr:from>
    <xdr:to>
      <xdr:col>4</xdr:col>
      <xdr:colOff>804334</xdr:colOff>
      <xdr:row>12</xdr:row>
      <xdr:rowOff>116415</xdr:rowOff>
    </xdr:to>
    <xdr:sp macro="" textlink="">
      <xdr:nvSpPr>
        <xdr:cNvPr id="2" name="Bijschrift: pijl-omhoog 1">
          <a:extLst>
            <a:ext uri="{FF2B5EF4-FFF2-40B4-BE49-F238E27FC236}">
              <a16:creationId xmlns:a16="http://schemas.microsoft.com/office/drawing/2014/main" id="{1DA49FB0-288D-A2D4-A95B-16A7AD53AA58}"/>
            </a:ext>
          </a:extLst>
        </xdr:cNvPr>
        <xdr:cNvSpPr/>
      </xdr:nvSpPr>
      <xdr:spPr>
        <a:xfrm>
          <a:off x="3481917" y="1957917"/>
          <a:ext cx="1270000" cy="529165"/>
        </a:xfrm>
        <a:prstGeom prst="upArrowCallout">
          <a:avLst>
            <a:gd name="adj1" fmla="val 12307"/>
            <a:gd name="adj2" fmla="val 14231"/>
            <a:gd name="adj3" fmla="val 25000"/>
            <a:gd name="adj4" fmla="val 9593"/>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absoluteAnchor>
    <xdr:pos x="10731500" y="582082"/>
    <xdr:ext cx="8741833" cy="6371167"/>
    <xdr:graphicFrame macro="">
      <xdr:nvGraphicFramePr>
        <xdr:cNvPr id="4" name="Grafiek 3">
          <a:extLst>
            <a:ext uri="{FF2B5EF4-FFF2-40B4-BE49-F238E27FC236}">
              <a16:creationId xmlns:a16="http://schemas.microsoft.com/office/drawing/2014/main" id="{57F7FE63-C286-4DA1-A871-86E2C2B6FD8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0.80349</cdr:x>
      <cdr:y>0.12458</cdr:y>
    </cdr:from>
    <cdr:to>
      <cdr:x>0.80349</cdr:x>
      <cdr:y>0.86869</cdr:y>
    </cdr:to>
    <cdr:cxnSp macro="">
      <cdr:nvCxnSpPr>
        <cdr:cNvPr id="3" name="Rechte verbindingslijn 2">
          <a:extLst xmlns:a="http://schemas.openxmlformats.org/drawingml/2006/main">
            <a:ext uri="{FF2B5EF4-FFF2-40B4-BE49-F238E27FC236}">
              <a16:creationId xmlns:a16="http://schemas.microsoft.com/office/drawing/2014/main" id="{1A34AA89-D504-5D53-7E5A-07D943A6E02C}"/>
            </a:ext>
          </a:extLst>
        </cdr:cNvPr>
        <cdr:cNvCxnSpPr/>
      </cdr:nvCxnSpPr>
      <cdr:spPr>
        <a:xfrm xmlns:a="http://schemas.openxmlformats.org/drawingml/2006/main">
          <a:off x="6958542" y="783167"/>
          <a:ext cx="0" cy="4677833"/>
        </a:xfrm>
        <a:prstGeom xmlns:a="http://schemas.openxmlformats.org/drawingml/2006/main" prst="line">
          <a:avLst/>
        </a:prstGeom>
        <a:ln xmlns:a="http://schemas.openxmlformats.org/drawingml/2006/main" w="15875">
          <a:solidFill>
            <a:schemeClr val="accent1">
              <a:alpha val="75000"/>
            </a:schemeClr>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0.18775</cdr:x>
      <cdr:y>0.8251</cdr:y>
    </cdr:from>
    <cdr:to>
      <cdr:x>0.26903</cdr:x>
      <cdr:y>0.87762</cdr:y>
    </cdr:to>
    <cdr:sp macro="" textlink="">
      <cdr:nvSpPr>
        <cdr:cNvPr id="4" name="Tekstvak 1">
          <a:extLst xmlns:a="http://schemas.openxmlformats.org/drawingml/2006/main">
            <a:ext uri="{FF2B5EF4-FFF2-40B4-BE49-F238E27FC236}">
              <a16:creationId xmlns:a16="http://schemas.microsoft.com/office/drawing/2014/main" id="{31FCB8E4-0765-C467-815A-B1B85F0AF59D}"/>
            </a:ext>
          </a:extLst>
        </cdr:cNvPr>
        <cdr:cNvSpPr txBox="1"/>
      </cdr:nvSpPr>
      <cdr:spPr>
        <a:xfrm xmlns:a="http://schemas.openxmlformats.org/drawingml/2006/main">
          <a:off x="1626037" y="5186991"/>
          <a:ext cx="703919" cy="330167"/>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800"/>
            <a:t>HP047 =    8</a:t>
          </a:r>
        </a:p>
        <a:p xmlns:a="http://schemas.openxmlformats.org/drawingml/2006/main">
          <a:r>
            <a:rPr lang="nl-NL" sz="800"/>
            <a:t>HP049 = -10</a:t>
          </a:r>
        </a:p>
        <a:p xmlns:a="http://schemas.openxmlformats.org/drawingml/2006/main">
          <a:endParaRPr lang="nl-NL" sz="1100"/>
        </a:p>
      </cdr:txBody>
    </cdr:sp>
  </cdr:relSizeAnchor>
  <cdr:relSizeAnchor xmlns:cdr="http://schemas.openxmlformats.org/drawingml/2006/chartDrawing">
    <cdr:from>
      <cdr:x>0.10259</cdr:x>
      <cdr:y>0.82458</cdr:y>
    </cdr:from>
    <cdr:to>
      <cdr:x>0.18387</cdr:x>
      <cdr:y>0.87711</cdr:y>
    </cdr:to>
    <cdr:sp macro="" textlink="">
      <cdr:nvSpPr>
        <cdr:cNvPr id="5" name="Tekstvak 1">
          <a:extLst xmlns:a="http://schemas.openxmlformats.org/drawingml/2006/main">
            <a:ext uri="{FF2B5EF4-FFF2-40B4-BE49-F238E27FC236}">
              <a16:creationId xmlns:a16="http://schemas.microsoft.com/office/drawing/2014/main" id="{AC4E5E2C-A93B-6311-B749-2D8E483CEB66}"/>
            </a:ext>
          </a:extLst>
        </cdr:cNvPr>
        <cdr:cNvSpPr txBox="1"/>
      </cdr:nvSpPr>
      <cdr:spPr>
        <a:xfrm xmlns:a="http://schemas.openxmlformats.org/drawingml/2006/main">
          <a:off x="888482" y="5183699"/>
          <a:ext cx="703919" cy="330230"/>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800"/>
            <a:t>HP047 =    4</a:t>
          </a:r>
        </a:p>
        <a:p xmlns:a="http://schemas.openxmlformats.org/drawingml/2006/main">
          <a:r>
            <a:rPr lang="nl-NL" sz="800"/>
            <a:t>HP049 = -10</a:t>
          </a:r>
        </a:p>
        <a:p xmlns:a="http://schemas.openxmlformats.org/drawingml/2006/main">
          <a:endParaRPr lang="nl-NL" sz="1100"/>
        </a:p>
      </cdr:txBody>
    </cdr:sp>
  </cdr:relSizeAnchor>
  <cdr:relSizeAnchor xmlns:cdr="http://schemas.openxmlformats.org/drawingml/2006/chartDrawing">
    <cdr:from>
      <cdr:x>0.37642</cdr:x>
      <cdr:y>0.11181</cdr:y>
    </cdr:from>
    <cdr:to>
      <cdr:x>0.4577</cdr:x>
      <cdr:y>0.16434</cdr:y>
    </cdr:to>
    <cdr:sp macro="" textlink="">
      <cdr:nvSpPr>
        <cdr:cNvPr id="6" name="Tekstvak 1">
          <a:extLst xmlns:a="http://schemas.openxmlformats.org/drawingml/2006/main">
            <a:ext uri="{FF2B5EF4-FFF2-40B4-BE49-F238E27FC236}">
              <a16:creationId xmlns:a16="http://schemas.microsoft.com/office/drawing/2014/main" id="{11F17B12-37FB-56EC-B41A-52DCFC530BFB}"/>
            </a:ext>
          </a:extLst>
        </cdr:cNvPr>
        <cdr:cNvSpPr txBox="1"/>
      </cdr:nvSpPr>
      <cdr:spPr>
        <a:xfrm xmlns:a="http://schemas.openxmlformats.org/drawingml/2006/main">
          <a:off x="3259978" y="702897"/>
          <a:ext cx="703919" cy="330230"/>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800"/>
            <a:t>HP048 =   26 </a:t>
          </a:r>
        </a:p>
        <a:p xmlns:a="http://schemas.openxmlformats.org/drawingml/2006/main">
          <a:r>
            <a:rPr lang="nl-NL" sz="800"/>
            <a:t>HP050 = +15</a:t>
          </a:r>
        </a:p>
        <a:p xmlns:a="http://schemas.openxmlformats.org/drawingml/2006/main">
          <a:endParaRPr lang="nl-NL" sz="1100"/>
        </a:p>
      </cdr:txBody>
    </cdr:sp>
  </cdr:relSizeAnchor>
  <cdr:relSizeAnchor xmlns:cdr="http://schemas.openxmlformats.org/drawingml/2006/chartDrawing">
    <cdr:from>
      <cdr:x>0.50501</cdr:x>
      <cdr:y>0.11181</cdr:y>
    </cdr:from>
    <cdr:to>
      <cdr:x>0.58629</cdr:x>
      <cdr:y>0.16434</cdr:y>
    </cdr:to>
    <cdr:sp macro="" textlink="">
      <cdr:nvSpPr>
        <cdr:cNvPr id="7" name="Tekstvak 1">
          <a:extLst xmlns:a="http://schemas.openxmlformats.org/drawingml/2006/main">
            <a:ext uri="{FF2B5EF4-FFF2-40B4-BE49-F238E27FC236}">
              <a16:creationId xmlns:a16="http://schemas.microsoft.com/office/drawing/2014/main" id="{11F17B12-37FB-56EC-B41A-52DCFC530BFB}"/>
            </a:ext>
          </a:extLst>
        </cdr:cNvPr>
        <cdr:cNvSpPr txBox="1"/>
      </cdr:nvSpPr>
      <cdr:spPr>
        <a:xfrm xmlns:a="http://schemas.openxmlformats.org/drawingml/2006/main">
          <a:off x="4373615" y="702869"/>
          <a:ext cx="703919" cy="330230"/>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800"/>
            <a:t>HP048 =   30</a:t>
          </a:r>
        </a:p>
        <a:p xmlns:a="http://schemas.openxmlformats.org/drawingml/2006/main">
          <a:r>
            <a:rPr lang="nl-NL" sz="800"/>
            <a:t>HP050 = +15</a:t>
          </a:r>
        </a:p>
        <a:p xmlns:a="http://schemas.openxmlformats.org/drawingml/2006/main">
          <a:endParaRPr lang="nl-NL" sz="1100"/>
        </a:p>
      </cdr:txBody>
    </cdr:sp>
  </cdr:relSizeAnchor>
  <cdr:relSizeAnchor xmlns:cdr="http://schemas.openxmlformats.org/drawingml/2006/chartDrawing">
    <cdr:from>
      <cdr:x>0.63869</cdr:x>
      <cdr:y>0.11181</cdr:y>
    </cdr:from>
    <cdr:to>
      <cdr:x>0.71996</cdr:x>
      <cdr:y>0.16434</cdr:y>
    </cdr:to>
    <cdr:sp macro="" textlink="">
      <cdr:nvSpPr>
        <cdr:cNvPr id="8" name="Tekstvak 1">
          <a:extLst xmlns:a="http://schemas.openxmlformats.org/drawingml/2006/main">
            <a:ext uri="{FF2B5EF4-FFF2-40B4-BE49-F238E27FC236}">
              <a16:creationId xmlns:a16="http://schemas.microsoft.com/office/drawing/2014/main" id="{11F17B12-37FB-56EC-B41A-52DCFC530BFB}"/>
            </a:ext>
          </a:extLst>
        </cdr:cNvPr>
        <cdr:cNvSpPr txBox="1"/>
      </cdr:nvSpPr>
      <cdr:spPr>
        <a:xfrm xmlns:a="http://schemas.openxmlformats.org/drawingml/2006/main">
          <a:off x="5531329" y="702869"/>
          <a:ext cx="703832" cy="330230"/>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800"/>
            <a:t>HP048 =   44</a:t>
          </a:r>
        </a:p>
        <a:p xmlns:a="http://schemas.openxmlformats.org/drawingml/2006/main">
          <a:r>
            <a:rPr lang="nl-NL" sz="800"/>
            <a:t>HP050 = +15</a:t>
          </a:r>
        </a:p>
        <a:p xmlns:a="http://schemas.openxmlformats.org/drawingml/2006/main">
          <a:endParaRPr lang="nl-NL" sz="1100"/>
        </a:p>
      </cdr:txBody>
    </cdr:sp>
  </cdr:relSizeAnchor>
  <cdr:relSizeAnchor xmlns:cdr="http://schemas.openxmlformats.org/drawingml/2006/chartDrawing">
    <cdr:from>
      <cdr:x>0.87135</cdr:x>
      <cdr:y>0.11349</cdr:y>
    </cdr:from>
    <cdr:to>
      <cdr:x>0.95262</cdr:x>
      <cdr:y>0.16602</cdr:y>
    </cdr:to>
    <cdr:sp macro="" textlink="">
      <cdr:nvSpPr>
        <cdr:cNvPr id="9" name="Tekstvak 1">
          <a:extLst xmlns:a="http://schemas.openxmlformats.org/drawingml/2006/main">
            <a:ext uri="{FF2B5EF4-FFF2-40B4-BE49-F238E27FC236}">
              <a16:creationId xmlns:a16="http://schemas.microsoft.com/office/drawing/2014/main" id="{11F17B12-37FB-56EC-B41A-52DCFC530BFB}"/>
            </a:ext>
          </a:extLst>
        </cdr:cNvPr>
        <cdr:cNvSpPr txBox="1"/>
      </cdr:nvSpPr>
      <cdr:spPr>
        <a:xfrm xmlns:a="http://schemas.openxmlformats.org/drawingml/2006/main">
          <a:off x="7546245" y="713477"/>
          <a:ext cx="703833" cy="330229"/>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800"/>
            <a:t>HP048 =   60</a:t>
          </a:r>
        </a:p>
        <a:p xmlns:a="http://schemas.openxmlformats.org/drawingml/2006/main">
          <a:r>
            <a:rPr lang="nl-NL" sz="800"/>
            <a:t>HP050 = +15</a:t>
          </a:r>
        </a:p>
        <a:p xmlns:a="http://schemas.openxmlformats.org/drawingml/2006/main">
          <a:endParaRPr lang="nl-NL" sz="1100"/>
        </a:p>
      </cdr:txBody>
    </cdr:sp>
  </cdr:relSizeAnchor>
  <cdr:relSizeAnchor xmlns:cdr="http://schemas.openxmlformats.org/drawingml/2006/chartDrawing">
    <cdr:from>
      <cdr:x>0.72081</cdr:x>
      <cdr:y>0.81771</cdr:y>
    </cdr:from>
    <cdr:to>
      <cdr:x>0.79695</cdr:x>
      <cdr:y>0.84926</cdr:y>
    </cdr:to>
    <cdr:sp macro="" textlink="">
      <cdr:nvSpPr>
        <cdr:cNvPr id="12" name="Tekstvak 1">
          <a:extLst xmlns:a="http://schemas.openxmlformats.org/drawingml/2006/main">
            <a:ext uri="{FF2B5EF4-FFF2-40B4-BE49-F238E27FC236}">
              <a16:creationId xmlns:a16="http://schemas.microsoft.com/office/drawing/2014/main" id="{6591B5A4-FE0E-6EB9-B7CF-06853537E332}"/>
            </a:ext>
          </a:extLst>
        </cdr:cNvPr>
        <cdr:cNvSpPr txBox="1"/>
      </cdr:nvSpPr>
      <cdr:spPr>
        <a:xfrm xmlns:a="http://schemas.openxmlformats.org/drawingml/2006/main">
          <a:off x="6242537" y="5140540"/>
          <a:ext cx="659404" cy="198339"/>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800" b="0"/>
            <a:t>HP030 = 50</a:t>
          </a:r>
          <a:endParaRPr lang="nl-NL" sz="1100" b="0"/>
        </a:p>
      </cdr:txBody>
    </cdr:sp>
  </cdr:relSizeAnchor>
  <cdr:relSizeAnchor xmlns:cdr="http://schemas.openxmlformats.org/drawingml/2006/chartDrawing">
    <cdr:from>
      <cdr:x>0.87013</cdr:x>
      <cdr:y>0.37068</cdr:y>
    </cdr:from>
    <cdr:to>
      <cdr:x>0.9514</cdr:x>
      <cdr:y>0.42321</cdr:y>
    </cdr:to>
    <cdr:sp macro="" textlink="">
      <cdr:nvSpPr>
        <cdr:cNvPr id="10" name="Tekstvak 1">
          <a:extLst xmlns:a="http://schemas.openxmlformats.org/drawingml/2006/main">
            <a:ext uri="{FF2B5EF4-FFF2-40B4-BE49-F238E27FC236}">
              <a16:creationId xmlns:a16="http://schemas.microsoft.com/office/drawing/2014/main" id="{12F39F02-C9A5-616E-DC46-E76254D85215}"/>
            </a:ext>
          </a:extLst>
        </cdr:cNvPr>
        <cdr:cNvSpPr txBox="1"/>
      </cdr:nvSpPr>
      <cdr:spPr>
        <a:xfrm xmlns:a="http://schemas.openxmlformats.org/drawingml/2006/main">
          <a:off x="7535662" y="2330299"/>
          <a:ext cx="703833" cy="330230"/>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800"/>
            <a:t>HP048 =   60</a:t>
          </a:r>
        </a:p>
        <a:p xmlns:a="http://schemas.openxmlformats.org/drawingml/2006/main">
          <a:r>
            <a:rPr lang="nl-NL" sz="800"/>
            <a:t>HP050 =   +5</a:t>
          </a:r>
        </a:p>
        <a:p xmlns:a="http://schemas.openxmlformats.org/drawingml/2006/main">
          <a:endParaRPr lang="nl-NL"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297865" cy="6066692"/>
    <xdr:graphicFrame macro="">
      <xdr:nvGraphicFramePr>
        <xdr:cNvPr id="2" name="Grafiek 1">
          <a:extLst>
            <a:ext uri="{FF2B5EF4-FFF2-40B4-BE49-F238E27FC236}">
              <a16:creationId xmlns:a16="http://schemas.microsoft.com/office/drawing/2014/main" id="{3447DFC2-3197-CBF9-361F-E5CEE0BC17E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0.80372</cdr:x>
      <cdr:y>0.12471</cdr:y>
    </cdr:from>
    <cdr:to>
      <cdr:x>0.80372</cdr:x>
      <cdr:y>0.8683</cdr:y>
    </cdr:to>
    <cdr:cxnSp macro="">
      <cdr:nvCxnSpPr>
        <cdr:cNvPr id="3" name="Rechte verbindingslijn 2">
          <a:extLst xmlns:a="http://schemas.openxmlformats.org/drawingml/2006/main">
            <a:ext uri="{FF2B5EF4-FFF2-40B4-BE49-F238E27FC236}">
              <a16:creationId xmlns:a16="http://schemas.microsoft.com/office/drawing/2014/main" id="{1A34AA89-D504-5D53-7E5A-07D943A6E02C}"/>
            </a:ext>
          </a:extLst>
        </cdr:cNvPr>
        <cdr:cNvCxnSpPr/>
      </cdr:nvCxnSpPr>
      <cdr:spPr>
        <a:xfrm xmlns:a="http://schemas.openxmlformats.org/drawingml/2006/main">
          <a:off x="6960577" y="783981"/>
          <a:ext cx="0" cy="4674577"/>
        </a:xfrm>
        <a:prstGeom xmlns:a="http://schemas.openxmlformats.org/drawingml/2006/main" prst="line">
          <a:avLst/>
        </a:prstGeom>
        <a:ln xmlns:a="http://schemas.openxmlformats.org/drawingml/2006/main" w="15875">
          <a:solidFill>
            <a:schemeClr val="accent1">
              <a:alpha val="75000"/>
            </a:schemeClr>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0.18691</cdr:x>
      <cdr:y>0.82393</cdr:y>
    </cdr:from>
    <cdr:to>
      <cdr:x>0.25757</cdr:x>
      <cdr:y>0.87534</cdr:y>
    </cdr:to>
    <cdr:sp macro="" textlink="">
      <cdr:nvSpPr>
        <cdr:cNvPr id="4" name="Tekstvak 1">
          <a:extLst xmlns:a="http://schemas.openxmlformats.org/drawingml/2006/main">
            <a:ext uri="{FF2B5EF4-FFF2-40B4-BE49-F238E27FC236}">
              <a16:creationId xmlns:a16="http://schemas.microsoft.com/office/drawing/2014/main" id="{31FCB8E4-0765-C467-815A-B1B85F0AF59D}"/>
            </a:ext>
          </a:extLst>
        </cdr:cNvPr>
        <cdr:cNvSpPr txBox="1"/>
      </cdr:nvSpPr>
      <cdr:spPr>
        <a:xfrm xmlns:a="http://schemas.openxmlformats.org/drawingml/2006/main">
          <a:off x="1618707" y="5179664"/>
          <a:ext cx="612000" cy="323156"/>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vertOverflow="clip" horzOverflow="clip" wrap="none" lIns="36000" tIns="36000" rIns="36000" bIns="3600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nl-NL" sz="800"/>
            <a:t>HP047 =    8</a:t>
          </a:r>
        </a:p>
        <a:p xmlns:a="http://schemas.openxmlformats.org/drawingml/2006/main">
          <a:pPr algn="l"/>
          <a:r>
            <a:rPr lang="nl-NL" sz="800"/>
            <a:t>HP049 = -10</a:t>
          </a:r>
        </a:p>
      </cdr:txBody>
    </cdr:sp>
  </cdr:relSizeAnchor>
  <cdr:relSizeAnchor xmlns:cdr="http://schemas.openxmlformats.org/drawingml/2006/chartDrawing">
    <cdr:from>
      <cdr:x>0.10739</cdr:x>
      <cdr:y>0.82393</cdr:y>
    </cdr:from>
    <cdr:to>
      <cdr:x>0.1742</cdr:x>
      <cdr:y>0.87533</cdr:y>
    </cdr:to>
    <cdr:sp macro="" textlink="">
      <cdr:nvSpPr>
        <cdr:cNvPr id="5" name="Tekstvak 1">
          <a:extLst xmlns:a="http://schemas.openxmlformats.org/drawingml/2006/main">
            <a:ext uri="{FF2B5EF4-FFF2-40B4-BE49-F238E27FC236}">
              <a16:creationId xmlns:a16="http://schemas.microsoft.com/office/drawing/2014/main" id="{AC4E5E2C-A93B-6311-B749-2D8E483CEB66}"/>
            </a:ext>
          </a:extLst>
        </cdr:cNvPr>
        <cdr:cNvSpPr txBox="1"/>
      </cdr:nvSpPr>
      <cdr:spPr>
        <a:xfrm xmlns:a="http://schemas.openxmlformats.org/drawingml/2006/main">
          <a:off x="930001" y="5179630"/>
          <a:ext cx="578611" cy="323156"/>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vertOverflow="clip" horzOverflow="clip" wrap="none" lIns="36000" tIns="36000" rIns="36000" bIns="3600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800"/>
            <a:t>HP047 =    4</a:t>
          </a:r>
        </a:p>
        <a:p xmlns:a="http://schemas.openxmlformats.org/drawingml/2006/main">
          <a:r>
            <a:rPr lang="nl-NL" sz="800"/>
            <a:t>HP049 = -10</a:t>
          </a:r>
        </a:p>
      </cdr:txBody>
    </cdr:sp>
  </cdr:relSizeAnchor>
  <cdr:relSizeAnchor xmlns:cdr="http://schemas.openxmlformats.org/drawingml/2006/chartDrawing">
    <cdr:from>
      <cdr:x>0.38403</cdr:x>
      <cdr:y>0.11531</cdr:y>
    </cdr:from>
    <cdr:to>
      <cdr:x>0.4547</cdr:x>
      <cdr:y>0.16671</cdr:y>
    </cdr:to>
    <cdr:sp macro="" textlink="">
      <cdr:nvSpPr>
        <cdr:cNvPr id="6" name="Tekstvak 1">
          <a:extLst xmlns:a="http://schemas.openxmlformats.org/drawingml/2006/main">
            <a:ext uri="{FF2B5EF4-FFF2-40B4-BE49-F238E27FC236}">
              <a16:creationId xmlns:a16="http://schemas.microsoft.com/office/drawing/2014/main" id="{11F17B12-37FB-56EC-B41A-52DCFC530BFB}"/>
            </a:ext>
          </a:extLst>
        </cdr:cNvPr>
        <cdr:cNvSpPr txBox="1"/>
      </cdr:nvSpPr>
      <cdr:spPr>
        <a:xfrm xmlns:a="http://schemas.openxmlformats.org/drawingml/2006/main">
          <a:off x="3325899" y="724876"/>
          <a:ext cx="612000" cy="323156"/>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vertOverflow="clip" horzOverflow="clip" wrap="none" lIns="36000" tIns="36000" rIns="36000" bIns="3600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nl-NL" sz="800"/>
            <a:t>HP048 =   26 </a:t>
          </a:r>
        </a:p>
        <a:p xmlns:a="http://schemas.openxmlformats.org/drawingml/2006/main">
          <a:r>
            <a:rPr lang="nl-NL" sz="800"/>
            <a:t>HP050 = +15</a:t>
          </a:r>
        </a:p>
      </cdr:txBody>
    </cdr:sp>
  </cdr:relSizeAnchor>
  <cdr:relSizeAnchor xmlns:cdr="http://schemas.openxmlformats.org/drawingml/2006/chartDrawing">
    <cdr:from>
      <cdr:x>0.5067</cdr:x>
      <cdr:y>0.11647</cdr:y>
    </cdr:from>
    <cdr:to>
      <cdr:x>0.57737</cdr:x>
      <cdr:y>0.16801</cdr:y>
    </cdr:to>
    <cdr:sp macro="" textlink="">
      <cdr:nvSpPr>
        <cdr:cNvPr id="7" name="Tekstvak 1">
          <a:extLst xmlns:a="http://schemas.openxmlformats.org/drawingml/2006/main">
            <a:ext uri="{FF2B5EF4-FFF2-40B4-BE49-F238E27FC236}">
              <a16:creationId xmlns:a16="http://schemas.microsoft.com/office/drawing/2014/main" id="{11F17B12-37FB-56EC-B41A-52DCFC530BFB}"/>
            </a:ext>
          </a:extLst>
        </cdr:cNvPr>
        <cdr:cNvSpPr txBox="1"/>
      </cdr:nvSpPr>
      <cdr:spPr>
        <a:xfrm xmlns:a="http://schemas.openxmlformats.org/drawingml/2006/main">
          <a:off x="4388254" y="732202"/>
          <a:ext cx="612000" cy="324000"/>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vertOverflow="clip" horzOverflow="clip" wrap="none" lIns="36000" tIns="36000" rIns="36000" bIns="3600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800"/>
            <a:t>HP048 =   30</a:t>
          </a:r>
        </a:p>
        <a:p xmlns:a="http://schemas.openxmlformats.org/drawingml/2006/main">
          <a:pPr algn="l"/>
          <a:r>
            <a:rPr lang="nl-NL" sz="800"/>
            <a:t>HP050 = +15</a:t>
          </a:r>
        </a:p>
      </cdr:txBody>
    </cdr:sp>
  </cdr:relSizeAnchor>
  <cdr:relSizeAnchor xmlns:cdr="http://schemas.openxmlformats.org/drawingml/2006/chartDrawing">
    <cdr:from>
      <cdr:x>0.64884</cdr:x>
      <cdr:y>0.11647</cdr:y>
    </cdr:from>
    <cdr:to>
      <cdr:x>0.71951</cdr:x>
      <cdr:y>0.16801</cdr:y>
    </cdr:to>
    <cdr:sp macro="" textlink="">
      <cdr:nvSpPr>
        <cdr:cNvPr id="8" name="Tekstvak 1">
          <a:extLst xmlns:a="http://schemas.openxmlformats.org/drawingml/2006/main">
            <a:ext uri="{FF2B5EF4-FFF2-40B4-BE49-F238E27FC236}">
              <a16:creationId xmlns:a16="http://schemas.microsoft.com/office/drawing/2014/main" id="{11F17B12-37FB-56EC-B41A-52DCFC530BFB}"/>
            </a:ext>
          </a:extLst>
        </cdr:cNvPr>
        <cdr:cNvSpPr txBox="1"/>
      </cdr:nvSpPr>
      <cdr:spPr>
        <a:xfrm xmlns:a="http://schemas.openxmlformats.org/drawingml/2006/main">
          <a:off x="5619249" y="732202"/>
          <a:ext cx="612000" cy="324000"/>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wrap="square" lIns="36000" tIns="36000" rIns="36000" b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nl-NL" sz="800"/>
            <a:t>HP048 =   44</a:t>
          </a:r>
        </a:p>
        <a:p xmlns:a="http://schemas.openxmlformats.org/drawingml/2006/main">
          <a:r>
            <a:rPr lang="nl-NL" sz="800"/>
            <a:t>HP050 = +15</a:t>
          </a:r>
        </a:p>
      </cdr:txBody>
    </cdr:sp>
  </cdr:relSizeAnchor>
  <cdr:relSizeAnchor xmlns:cdr="http://schemas.openxmlformats.org/drawingml/2006/chartDrawing">
    <cdr:from>
      <cdr:x>0.88319</cdr:x>
      <cdr:y>0.11531</cdr:y>
    </cdr:from>
    <cdr:to>
      <cdr:x>0.95386</cdr:x>
      <cdr:y>0.16671</cdr:y>
    </cdr:to>
    <cdr:sp macro="" textlink="">
      <cdr:nvSpPr>
        <cdr:cNvPr id="9" name="Tekstvak 1">
          <a:extLst xmlns:a="http://schemas.openxmlformats.org/drawingml/2006/main">
            <a:ext uri="{FF2B5EF4-FFF2-40B4-BE49-F238E27FC236}">
              <a16:creationId xmlns:a16="http://schemas.microsoft.com/office/drawing/2014/main" id="{11F17B12-37FB-56EC-B41A-52DCFC530BFB}"/>
            </a:ext>
          </a:extLst>
        </cdr:cNvPr>
        <cdr:cNvSpPr txBox="1"/>
      </cdr:nvSpPr>
      <cdr:spPr>
        <a:xfrm xmlns:a="http://schemas.openxmlformats.org/drawingml/2006/main">
          <a:off x="7648822" y="724875"/>
          <a:ext cx="612000" cy="323156"/>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vertOverflow="clip" horzOverflow="clip" wrap="square" lIns="36000" tIns="36000" rIns="36000" bIns="3600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nl-NL" sz="800"/>
            <a:t>HP048 =   60</a:t>
          </a:r>
        </a:p>
        <a:p xmlns:a="http://schemas.openxmlformats.org/drawingml/2006/main">
          <a:r>
            <a:rPr lang="nl-NL" sz="800"/>
            <a:t>HP050 = +15</a:t>
          </a:r>
        </a:p>
      </cdr:txBody>
    </cdr:sp>
  </cdr:relSizeAnchor>
  <cdr:relSizeAnchor xmlns:cdr="http://schemas.openxmlformats.org/drawingml/2006/chartDrawing">
    <cdr:from>
      <cdr:x>0.7338</cdr:x>
      <cdr:y>0.8181</cdr:y>
    </cdr:from>
    <cdr:to>
      <cdr:x>0.79725</cdr:x>
      <cdr:y>0.84958</cdr:y>
    </cdr:to>
    <cdr:sp macro="" textlink="">
      <cdr:nvSpPr>
        <cdr:cNvPr id="12" name="Tekstvak 1">
          <a:extLst xmlns:a="http://schemas.openxmlformats.org/drawingml/2006/main">
            <a:ext uri="{FF2B5EF4-FFF2-40B4-BE49-F238E27FC236}">
              <a16:creationId xmlns:a16="http://schemas.microsoft.com/office/drawing/2014/main" id="{6591B5A4-FE0E-6EB9-B7CF-06853537E332}"/>
            </a:ext>
          </a:extLst>
        </cdr:cNvPr>
        <cdr:cNvSpPr txBox="1"/>
      </cdr:nvSpPr>
      <cdr:spPr>
        <a:xfrm xmlns:a="http://schemas.openxmlformats.org/drawingml/2006/main">
          <a:off x="6354985" y="5142982"/>
          <a:ext cx="549565" cy="197930"/>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vertOverflow="clip" horzOverflow="clip" wrap="none" lIns="36000" tIns="36000" rIns="36000" bIns="3600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nl-NL" sz="800" b="0"/>
            <a:t>HP030 = 50</a:t>
          </a:r>
          <a:endParaRPr lang="nl-NL" sz="1100" b="0"/>
        </a:p>
      </cdr:txBody>
    </cdr:sp>
  </cdr:relSizeAnchor>
  <cdr:relSizeAnchor xmlns:cdr="http://schemas.openxmlformats.org/drawingml/2006/chartDrawing">
    <cdr:from>
      <cdr:x>0.8815</cdr:x>
      <cdr:y>0.37172</cdr:y>
    </cdr:from>
    <cdr:to>
      <cdr:x>0.95217</cdr:x>
      <cdr:y>0.42326</cdr:y>
    </cdr:to>
    <cdr:sp macro="" textlink="">
      <cdr:nvSpPr>
        <cdr:cNvPr id="10" name="Tekstvak 1">
          <a:extLst xmlns:a="http://schemas.openxmlformats.org/drawingml/2006/main">
            <a:ext uri="{FF2B5EF4-FFF2-40B4-BE49-F238E27FC236}">
              <a16:creationId xmlns:a16="http://schemas.microsoft.com/office/drawing/2014/main" id="{12F39F02-C9A5-616E-DC46-E76254D85215}"/>
            </a:ext>
          </a:extLst>
        </cdr:cNvPr>
        <cdr:cNvSpPr txBox="1"/>
      </cdr:nvSpPr>
      <cdr:spPr>
        <a:xfrm xmlns:a="http://schemas.openxmlformats.org/drawingml/2006/main">
          <a:off x="7634167" y="2336813"/>
          <a:ext cx="612000" cy="324000"/>
        </a:xfrm>
        <a:prstGeom xmlns:a="http://schemas.openxmlformats.org/drawingml/2006/main" prst="rect">
          <a:avLst/>
        </a:prstGeom>
        <a:solidFill xmlns:a="http://schemas.openxmlformats.org/drawingml/2006/main">
          <a:srgbClr val="FFFFDD">
            <a:alpha val="50000"/>
          </a:srgbClr>
        </a:solidFill>
        <a:ln xmlns:a="http://schemas.openxmlformats.org/drawingml/2006/main">
          <a:solidFill>
            <a:schemeClr val="tx1"/>
          </a:solidFill>
        </a:ln>
      </cdr:spPr>
      <cdr:txBody>
        <a:bodyPr xmlns:a="http://schemas.openxmlformats.org/drawingml/2006/main" vertOverflow="clip" horzOverflow="clip" wrap="none" lIns="36000" tIns="36000" rIns="36000" bIns="3600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nl-NL" sz="800"/>
            <a:t>HP048 =   60</a:t>
          </a:r>
        </a:p>
        <a:p xmlns:a="http://schemas.openxmlformats.org/drawingml/2006/main">
          <a:r>
            <a:rPr lang="nl-NL" sz="800"/>
            <a:t>HP050 =   +5</a:t>
          </a:r>
        </a:p>
      </cdr:txBody>
    </cdr:sp>
  </cdr:relSizeAnchor>
</c:userShape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handleiding.remeha.nl/besturingsplatform/GUID-852BA621-F0D6-475E-B1F6-76BDF6C11208.html" TargetMode="External"/><Relationship Id="rId7" Type="http://schemas.openxmlformats.org/officeDocument/2006/relationships/vmlDrawing" Target="../drawings/vmlDrawing1.vml"/><Relationship Id="rId2" Type="http://schemas.openxmlformats.org/officeDocument/2006/relationships/hyperlink" Target="https://www.familie-kleinman.nl/energie/elga-ace-stooklijnen/" TargetMode="External"/><Relationship Id="rId1" Type="http://schemas.openxmlformats.org/officeDocument/2006/relationships/hyperlink" Target="https://www.haroldhalewijn.nl/2022/06/13/verwarmen-met-een-aan-uit-warmtepomp-en-een-stooklij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mediacdn.remeha.nl/-/media/websites/remehanlv2/files/elga-ace-monoblock/installatie--service--gebruikershandleiding-binnenunit-elga-ace-monoblock.pdf?v=1&amp;d=20231127T161926Z"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2DC8-DF84-497B-B210-7606B4F063E7}">
  <sheetPr>
    <pageSetUpPr fitToPage="1"/>
  </sheetPr>
  <dimension ref="A1:AS77"/>
  <sheetViews>
    <sheetView showGridLines="0" zoomScaleNormal="100" workbookViewId="0">
      <pane xSplit="4" ySplit="9" topLeftCell="S10" activePane="bottomRight" state="frozen"/>
      <selection pane="topRight" activeCell="E1" sqref="E1"/>
      <selection pane="bottomLeft" activeCell="A10" sqref="A10"/>
      <selection pane="bottomRight" activeCell="AD36" sqref="AD36"/>
    </sheetView>
  </sheetViews>
  <sheetFormatPr defaultRowHeight="14.25" outlineLevelCol="1" x14ac:dyDescent="0.2"/>
  <cols>
    <col min="1" max="1" width="2.625" customWidth="1"/>
    <col min="2" max="2" width="8.375" customWidth="1"/>
    <col min="3" max="3" width="6.75" customWidth="1"/>
    <col min="4" max="4" width="8.375" customWidth="1"/>
    <col min="5" max="5" width="6.375" customWidth="1"/>
    <col min="6" max="9" width="6.625" customWidth="1"/>
    <col min="10" max="15" width="6.375" customWidth="1"/>
    <col min="16" max="16" width="2.625" customWidth="1"/>
    <col min="17" max="17" width="2.625" customWidth="1" outlineLevel="1"/>
    <col min="18" max="18" width="5.375" customWidth="1" outlineLevel="1"/>
    <col min="19" max="19" width="61.125" customWidth="1" outlineLevel="1"/>
    <col min="20" max="20" width="2.625" customWidth="1"/>
    <col min="21" max="21" width="11.375" customWidth="1" outlineLevel="1"/>
    <col min="22" max="22" width="10.375" customWidth="1" outlineLevel="1"/>
    <col min="23" max="23" width="11" customWidth="1" outlineLevel="1"/>
    <col min="24" max="24" width="11.5" customWidth="1" outlineLevel="1"/>
    <col min="25" max="25" width="9.75" customWidth="1" outlineLevel="1"/>
    <col min="26" max="26" width="14.125" customWidth="1" outlineLevel="1"/>
    <col min="27" max="27" width="9" customWidth="1" outlineLevel="1"/>
    <col min="28" max="28" width="8" customWidth="1" outlineLevel="1"/>
    <col min="29" max="29" width="16" customWidth="1" outlineLevel="1"/>
    <col min="30" max="30" width="10.25" customWidth="1" outlineLevel="1"/>
    <col min="31" max="31" width="16.625" customWidth="1" outlineLevel="1"/>
    <col min="32" max="32" width="3.625" customWidth="1" outlineLevel="1"/>
    <col min="33" max="33" width="9.875" customWidth="1" outlineLevel="1"/>
    <col min="34" max="34" width="3.625" customWidth="1"/>
    <col min="35" max="35" width="2.625" customWidth="1"/>
    <col min="36" max="36" width="7.5" customWidth="1" outlineLevel="1"/>
    <col min="37" max="37" width="6.875" customWidth="1" outlineLevel="1"/>
    <col min="38" max="39" width="6" customWidth="1" outlineLevel="1"/>
    <col min="40" max="40" width="3.875" customWidth="1" outlineLevel="1"/>
    <col min="41" max="45" width="6.75" customWidth="1" outlineLevel="1"/>
  </cols>
  <sheetData>
    <row r="1" spans="2:45" ht="7.5" customHeight="1" x14ac:dyDescent="0.2">
      <c r="AS1" s="104"/>
    </row>
    <row r="2" spans="2:45" ht="23.25" x14ac:dyDescent="0.35">
      <c r="B2" s="242" t="s">
        <v>70</v>
      </c>
      <c r="C2" s="242"/>
      <c r="D2" s="242"/>
      <c r="E2" s="242"/>
      <c r="F2" s="242"/>
      <c r="G2" s="242"/>
      <c r="H2" s="242"/>
      <c r="I2" s="242"/>
      <c r="J2" s="242"/>
      <c r="K2" s="242"/>
      <c r="L2" s="242"/>
      <c r="M2" s="242"/>
      <c r="N2" s="242"/>
      <c r="O2" s="242"/>
      <c r="Q2" s="203" t="s">
        <v>26</v>
      </c>
      <c r="R2" s="1"/>
      <c r="S2" s="215"/>
      <c r="T2" s="96"/>
      <c r="U2" s="1" t="s">
        <v>71</v>
      </c>
      <c r="AA2" s="79"/>
      <c r="AI2" s="96"/>
      <c r="AJ2" s="1" t="s">
        <v>72</v>
      </c>
      <c r="AQ2" s="104"/>
      <c r="AS2" s="104"/>
    </row>
    <row r="3" spans="2:45" ht="14.25" customHeight="1" x14ac:dyDescent="0.35">
      <c r="B3" s="81"/>
      <c r="C3" s="221" t="s">
        <v>115</v>
      </c>
      <c r="D3" s="81"/>
      <c r="E3" s="81"/>
      <c r="F3" s="81"/>
      <c r="G3" s="81"/>
      <c r="H3" s="81"/>
      <c r="I3" s="81"/>
      <c r="J3" s="81"/>
      <c r="K3" s="81"/>
      <c r="L3" s="81"/>
      <c r="M3" s="81"/>
      <c r="N3" s="81"/>
      <c r="O3" s="81"/>
      <c r="Q3" s="1"/>
      <c r="R3" s="1"/>
      <c r="S3" s="222" t="s">
        <v>103</v>
      </c>
      <c r="T3" s="96"/>
      <c r="U3" s="1"/>
      <c r="AA3" s="79"/>
      <c r="AI3" s="96"/>
      <c r="AJ3" s="2" t="s">
        <v>44</v>
      </c>
      <c r="AQ3" s="104"/>
      <c r="AS3" s="104"/>
    </row>
    <row r="4" spans="2:45" ht="18.75" customHeight="1" x14ac:dyDescent="0.2">
      <c r="B4" s="77"/>
      <c r="C4" s="107" t="s">
        <v>24</v>
      </c>
      <c r="D4" s="89"/>
      <c r="H4" s="66"/>
      <c r="I4" s="107" t="s">
        <v>58</v>
      </c>
      <c r="L4" s="90" t="s">
        <v>37</v>
      </c>
      <c r="N4" s="89"/>
      <c r="O4" s="160" t="s">
        <v>80</v>
      </c>
      <c r="Q4" s="205"/>
      <c r="R4" s="204" t="s">
        <v>25</v>
      </c>
      <c r="S4" s="95"/>
      <c r="T4" s="96"/>
      <c r="U4" s="186" t="s">
        <v>87</v>
      </c>
      <c r="V4" s="95"/>
      <c r="AI4" s="96"/>
      <c r="AS4" s="104"/>
    </row>
    <row r="5" spans="2:45" ht="19.5" customHeight="1" x14ac:dyDescent="0.35">
      <c r="B5" s="78" t="s">
        <v>20</v>
      </c>
      <c r="C5" s="111">
        <v>0.79999999999999993</v>
      </c>
      <c r="D5" s="81"/>
      <c r="E5" s="88"/>
      <c r="H5" s="108" t="s">
        <v>35</v>
      </c>
      <c r="I5" s="223">
        <v>3</v>
      </c>
      <c r="J5" s="80"/>
      <c r="K5" s="109" t="s">
        <v>33</v>
      </c>
      <c r="L5" s="224">
        <v>50</v>
      </c>
      <c r="M5" s="80"/>
      <c r="N5" s="94" t="s">
        <v>75</v>
      </c>
      <c r="O5" s="239">
        <v>19.5</v>
      </c>
      <c r="Q5" s="206"/>
      <c r="R5" s="204" t="s">
        <v>90</v>
      </c>
      <c r="T5" s="96"/>
      <c r="U5" s="188" t="s">
        <v>79</v>
      </c>
      <c r="V5" s="191" t="s">
        <v>83</v>
      </c>
      <c r="AI5" s="96"/>
      <c r="AS5" s="104"/>
    </row>
    <row r="6" spans="2:45" ht="18.75" customHeight="1" x14ac:dyDescent="0.2">
      <c r="B6" s="77"/>
      <c r="C6" s="107" t="s">
        <v>41</v>
      </c>
      <c r="D6" s="89"/>
      <c r="H6" s="66"/>
      <c r="I6" s="107" t="s">
        <v>57</v>
      </c>
      <c r="L6" s="90" t="s">
        <v>38</v>
      </c>
      <c r="N6" s="89"/>
      <c r="O6" s="160" t="s">
        <v>94</v>
      </c>
      <c r="Q6" s="207"/>
      <c r="R6" s="225">
        <v>50</v>
      </c>
      <c r="S6" s="105" t="s">
        <v>46</v>
      </c>
      <c r="T6" s="96"/>
      <c r="U6" s="187" t="s">
        <v>82</v>
      </c>
      <c r="V6" s="190" t="s">
        <v>84</v>
      </c>
      <c r="AI6" s="96"/>
      <c r="AS6" s="104"/>
    </row>
    <row r="7" spans="2:45" ht="19.5" customHeight="1" x14ac:dyDescent="0.25">
      <c r="B7" s="78" t="s">
        <v>23</v>
      </c>
      <c r="C7" s="241">
        <v>15</v>
      </c>
      <c r="D7" s="86"/>
      <c r="H7" s="108" t="s">
        <v>36</v>
      </c>
      <c r="I7" s="223">
        <v>-12</v>
      </c>
      <c r="K7" s="109" t="s">
        <v>22</v>
      </c>
      <c r="L7" s="224">
        <v>45</v>
      </c>
      <c r="N7" s="94" t="s">
        <v>76</v>
      </c>
      <c r="O7" s="240">
        <v>2</v>
      </c>
      <c r="Q7" s="208"/>
      <c r="R7" s="225">
        <v>45</v>
      </c>
      <c r="S7" s="105" t="s">
        <v>47</v>
      </c>
      <c r="T7" s="96"/>
      <c r="U7" s="189" t="s">
        <v>80</v>
      </c>
      <c r="V7" s="192" t="s">
        <v>85</v>
      </c>
      <c r="AG7" s="175" t="s">
        <v>69</v>
      </c>
      <c r="AI7" s="96"/>
      <c r="AK7" s="227" t="s">
        <v>42</v>
      </c>
      <c r="AL7" s="228"/>
      <c r="AN7" s="226" t="s">
        <v>43</v>
      </c>
      <c r="AO7" s="232"/>
      <c r="AP7" s="233"/>
      <c r="AQ7" s="228"/>
      <c r="AS7" s="104"/>
    </row>
    <row r="8" spans="2:45" ht="6" customHeight="1" thickBot="1" x14ac:dyDescent="0.4">
      <c r="C8" s="76"/>
      <c r="D8" s="75"/>
      <c r="R8" s="1"/>
      <c r="T8" s="96"/>
      <c r="AI8" s="96"/>
      <c r="AK8" s="229"/>
      <c r="AL8" s="229"/>
      <c r="AO8" s="229"/>
      <c r="AP8" s="229"/>
      <c r="AQ8" s="229"/>
      <c r="AS8" s="104"/>
    </row>
    <row r="9" spans="2:45" ht="17.25" thickBot="1" x14ac:dyDescent="0.35">
      <c r="B9" s="74" t="s">
        <v>21</v>
      </c>
      <c r="C9" s="148" t="s">
        <v>77</v>
      </c>
      <c r="D9" s="149" t="s">
        <v>20</v>
      </c>
      <c r="E9" s="177">
        <v>0.7</v>
      </c>
      <c r="F9" s="178">
        <f>E9+0.1</f>
        <v>0.79999999999999993</v>
      </c>
      <c r="G9" s="179">
        <f t="shared" ref="G9:O9" si="0">F9+0.1</f>
        <v>0.89999999999999991</v>
      </c>
      <c r="H9" s="179">
        <f t="shared" si="0"/>
        <v>0.99999999999999989</v>
      </c>
      <c r="I9" s="179">
        <f t="shared" si="0"/>
        <v>1.0999999999999999</v>
      </c>
      <c r="J9" s="179">
        <f t="shared" si="0"/>
        <v>1.2</v>
      </c>
      <c r="K9" s="179">
        <f t="shared" si="0"/>
        <v>1.3</v>
      </c>
      <c r="L9" s="179">
        <f t="shared" si="0"/>
        <v>1.4000000000000001</v>
      </c>
      <c r="M9" s="179">
        <f t="shared" si="0"/>
        <v>1.5000000000000002</v>
      </c>
      <c r="N9" s="179">
        <f t="shared" si="0"/>
        <v>1.6000000000000003</v>
      </c>
      <c r="O9" s="179">
        <f t="shared" si="0"/>
        <v>1.7000000000000004</v>
      </c>
      <c r="T9" s="96"/>
      <c r="U9" s="188" t="s">
        <v>81</v>
      </c>
      <c r="V9" s="191" t="s">
        <v>86</v>
      </c>
      <c r="AG9" s="176" t="s">
        <v>73</v>
      </c>
      <c r="AI9" s="96"/>
      <c r="AJ9" s="238" t="s">
        <v>39</v>
      </c>
      <c r="AK9" s="230" t="s">
        <v>22</v>
      </c>
      <c r="AL9" s="237" t="s">
        <v>33</v>
      </c>
      <c r="AM9" s="152"/>
      <c r="AN9" s="110" t="s">
        <v>40</v>
      </c>
      <c r="AO9" s="234" t="s">
        <v>35</v>
      </c>
      <c r="AP9" s="234" t="s">
        <v>36</v>
      </c>
      <c r="AQ9" s="235" t="s">
        <v>111</v>
      </c>
      <c r="AS9" s="104"/>
    </row>
    <row r="10" spans="2:45" x14ac:dyDescent="0.2">
      <c r="B10" s="73">
        <v>-10</v>
      </c>
      <c r="C10" s="63">
        <f t="shared" ref="C10:C40" si="1">IF(Voetpunt=15,Tk_gewenst,Voetpunt)</f>
        <v>19.5</v>
      </c>
      <c r="D10" s="64"/>
      <c r="E10" s="147">
        <f t="shared" ref="E10:O19" si="2">IF(Voetpunt=15,ROUND(Tk_gewenst+(Stooklijn*(Tk_gewenst-Tbuiten)),1),ROUND(Voetpunt+(Stooklijn*(Tk_gewenst-Tbuiten)),1))</f>
        <v>40.200000000000003</v>
      </c>
      <c r="F10" s="70">
        <f t="shared" si="2"/>
        <v>43.1</v>
      </c>
      <c r="G10" s="163">
        <f t="shared" si="2"/>
        <v>46.1</v>
      </c>
      <c r="H10" s="62">
        <f t="shared" si="2"/>
        <v>49</v>
      </c>
      <c r="I10" s="164">
        <f t="shared" si="2"/>
        <v>52</v>
      </c>
      <c r="J10" s="72">
        <f t="shared" si="2"/>
        <v>54.9</v>
      </c>
      <c r="K10" s="71">
        <f t="shared" si="2"/>
        <v>57.9</v>
      </c>
      <c r="L10" s="70">
        <f t="shared" si="2"/>
        <v>60.8</v>
      </c>
      <c r="M10" s="69">
        <f t="shared" si="2"/>
        <v>63.8</v>
      </c>
      <c r="N10" s="69">
        <f t="shared" si="2"/>
        <v>66.7</v>
      </c>
      <c r="O10" s="69">
        <f t="shared" si="2"/>
        <v>69.7</v>
      </c>
      <c r="S10" s="2"/>
      <c r="T10" s="96"/>
      <c r="AG10" s="173">
        <f>HLOOKUP($C$5,$E$9:$O$40,2)+$AA$32</f>
        <v>43.1</v>
      </c>
      <c r="AI10" s="96"/>
      <c r="AJ10" s="92">
        <v>-15</v>
      </c>
      <c r="AK10" s="231">
        <f t="shared" ref="AK10:AK11" si="3">$L$7</f>
        <v>45</v>
      </c>
      <c r="AL10" s="236">
        <f>L5</f>
        <v>50</v>
      </c>
      <c r="AM10" s="4"/>
      <c r="AN10" s="92">
        <v>20</v>
      </c>
      <c r="AO10" s="231">
        <f>$I$5</f>
        <v>3</v>
      </c>
      <c r="AP10" s="231">
        <f>$I$7</f>
        <v>-12</v>
      </c>
      <c r="AQ10" s="231">
        <f>Tb_sensor</f>
        <v>2</v>
      </c>
      <c r="AS10" s="104"/>
    </row>
    <row r="11" spans="2:45" x14ac:dyDescent="0.2">
      <c r="B11" s="68">
        <v>-9</v>
      </c>
      <c r="C11" s="63">
        <f t="shared" si="1"/>
        <v>19.5</v>
      </c>
      <c r="D11" s="64"/>
      <c r="E11" s="63">
        <f t="shared" si="2"/>
        <v>39.5</v>
      </c>
      <c r="F11" s="60">
        <f t="shared" si="2"/>
        <v>42.3</v>
      </c>
      <c r="G11" s="165">
        <f t="shared" si="2"/>
        <v>45.2</v>
      </c>
      <c r="H11" s="62">
        <f t="shared" si="2"/>
        <v>48</v>
      </c>
      <c r="I11" s="166">
        <f t="shared" si="2"/>
        <v>50.9</v>
      </c>
      <c r="J11" s="62">
        <f t="shared" si="2"/>
        <v>53.7</v>
      </c>
      <c r="K11" s="61">
        <f t="shared" si="2"/>
        <v>56.6</v>
      </c>
      <c r="L11" s="60">
        <f t="shared" si="2"/>
        <v>59.4</v>
      </c>
      <c r="M11" s="60">
        <f t="shared" si="2"/>
        <v>62.3</v>
      </c>
      <c r="N11" s="60">
        <f t="shared" si="2"/>
        <v>65.099999999999994</v>
      </c>
      <c r="O11" s="60">
        <f t="shared" si="2"/>
        <v>68</v>
      </c>
      <c r="S11" s="2"/>
      <c r="T11" s="96"/>
      <c r="AG11" s="173">
        <f>HLOOKUP($C$5,$E$9:$O$40,3)+$AA$32</f>
        <v>42.3</v>
      </c>
      <c r="AI11" s="96"/>
      <c r="AJ11" s="92">
        <v>20</v>
      </c>
      <c r="AK11" s="231">
        <f t="shared" si="3"/>
        <v>45</v>
      </c>
      <c r="AL11" s="236">
        <f>L5</f>
        <v>50</v>
      </c>
      <c r="AM11" s="4"/>
      <c r="AN11" s="92">
        <v>75</v>
      </c>
      <c r="AO11" s="231">
        <f>$I$5</f>
        <v>3</v>
      </c>
      <c r="AP11" s="231">
        <f>$I$7</f>
        <v>-12</v>
      </c>
      <c r="AQ11" s="231">
        <f>Tb_sensor</f>
        <v>2</v>
      </c>
      <c r="AS11" s="104"/>
    </row>
    <row r="12" spans="2:45" x14ac:dyDescent="0.2">
      <c r="B12" s="68">
        <v>-8</v>
      </c>
      <c r="C12" s="63">
        <f t="shared" si="1"/>
        <v>19.5</v>
      </c>
      <c r="D12" s="64"/>
      <c r="E12" s="63">
        <f t="shared" si="2"/>
        <v>38.799999999999997</v>
      </c>
      <c r="F12" s="60">
        <f t="shared" si="2"/>
        <v>41.5</v>
      </c>
      <c r="G12" s="165">
        <f t="shared" si="2"/>
        <v>44.3</v>
      </c>
      <c r="H12" s="62">
        <f t="shared" si="2"/>
        <v>47</v>
      </c>
      <c r="I12" s="166">
        <f t="shared" si="2"/>
        <v>49.8</v>
      </c>
      <c r="J12" s="62">
        <f t="shared" si="2"/>
        <v>52.5</v>
      </c>
      <c r="K12" s="61">
        <f t="shared" si="2"/>
        <v>55.3</v>
      </c>
      <c r="L12" s="60">
        <f t="shared" si="2"/>
        <v>58</v>
      </c>
      <c r="M12" s="60">
        <f t="shared" si="2"/>
        <v>60.8</v>
      </c>
      <c r="N12" s="60">
        <f t="shared" si="2"/>
        <v>63.5</v>
      </c>
      <c r="O12" s="60">
        <f t="shared" si="2"/>
        <v>66.3</v>
      </c>
      <c r="T12" s="96"/>
      <c r="AG12" s="173">
        <f>HLOOKUP($C$5,$E$9:$O$40,4)+$AA$32</f>
        <v>41.5</v>
      </c>
      <c r="AI12" s="96"/>
      <c r="AJ12" s="93"/>
      <c r="AK12" s="92"/>
      <c r="AL12" s="91"/>
      <c r="AM12" s="91"/>
      <c r="AN12" s="92"/>
      <c r="AO12" s="91"/>
      <c r="AS12" s="104"/>
    </row>
    <row r="13" spans="2:45" x14ac:dyDescent="0.2">
      <c r="B13" s="68">
        <v>-7</v>
      </c>
      <c r="C13" s="63">
        <f t="shared" si="1"/>
        <v>19.5</v>
      </c>
      <c r="D13" s="64"/>
      <c r="E13" s="63">
        <f t="shared" si="2"/>
        <v>38.1</v>
      </c>
      <c r="F13" s="60">
        <f t="shared" si="2"/>
        <v>40.700000000000003</v>
      </c>
      <c r="G13" s="167">
        <f t="shared" si="2"/>
        <v>43.4</v>
      </c>
      <c r="H13" s="62">
        <f t="shared" si="2"/>
        <v>46</v>
      </c>
      <c r="I13" s="166">
        <f t="shared" si="2"/>
        <v>48.7</v>
      </c>
      <c r="J13" s="62">
        <f t="shared" si="2"/>
        <v>51.3</v>
      </c>
      <c r="K13" s="61">
        <f t="shared" si="2"/>
        <v>54</v>
      </c>
      <c r="L13" s="60">
        <f t="shared" si="2"/>
        <v>56.6</v>
      </c>
      <c r="M13" s="60">
        <f t="shared" si="2"/>
        <v>59.3</v>
      </c>
      <c r="N13" s="60">
        <f t="shared" si="2"/>
        <v>61.9</v>
      </c>
      <c r="O13" s="60">
        <f t="shared" si="2"/>
        <v>64.599999999999994</v>
      </c>
      <c r="T13" s="96"/>
      <c r="AG13" s="173">
        <f>HLOOKUP($C$5,$E$9:$O$40,5)+$AA$32</f>
        <v>40.700000000000003</v>
      </c>
      <c r="AI13" s="96"/>
      <c r="AJ13" s="93"/>
      <c r="AK13" s="92"/>
      <c r="AL13" s="91"/>
      <c r="AM13" s="91"/>
      <c r="AN13" s="92"/>
      <c r="AO13" s="92"/>
      <c r="AS13" s="104"/>
    </row>
    <row r="14" spans="2:45" x14ac:dyDescent="0.2">
      <c r="B14" s="68">
        <v>-6</v>
      </c>
      <c r="C14" s="63">
        <f t="shared" si="1"/>
        <v>19.5</v>
      </c>
      <c r="D14" s="64"/>
      <c r="E14" s="63">
        <f t="shared" si="2"/>
        <v>37.4</v>
      </c>
      <c r="F14" s="60">
        <f t="shared" si="2"/>
        <v>39.9</v>
      </c>
      <c r="G14" s="167">
        <f t="shared" si="2"/>
        <v>42.5</v>
      </c>
      <c r="H14" s="62">
        <f t="shared" si="2"/>
        <v>45</v>
      </c>
      <c r="I14" s="166">
        <f t="shared" si="2"/>
        <v>47.6</v>
      </c>
      <c r="J14" s="62">
        <f t="shared" si="2"/>
        <v>50.1</v>
      </c>
      <c r="K14" s="61">
        <f t="shared" si="2"/>
        <v>52.7</v>
      </c>
      <c r="L14" s="60">
        <f t="shared" si="2"/>
        <v>55.2</v>
      </c>
      <c r="M14" s="60">
        <f t="shared" si="2"/>
        <v>57.8</v>
      </c>
      <c r="N14" s="60">
        <f t="shared" si="2"/>
        <v>60.3</v>
      </c>
      <c r="O14" s="60">
        <f t="shared" si="2"/>
        <v>62.9</v>
      </c>
      <c r="T14" s="96"/>
      <c r="AG14" s="173">
        <f>HLOOKUP($C$5,$E$9:$O$40,6)+$AA$32</f>
        <v>39.9</v>
      </c>
      <c r="AI14" s="96"/>
      <c r="AJ14" s="93"/>
      <c r="AK14" s="92"/>
      <c r="AL14" s="91"/>
      <c r="AM14" s="91"/>
      <c r="AN14" s="92"/>
      <c r="AO14" s="92"/>
      <c r="AS14" s="104"/>
    </row>
    <row r="15" spans="2:45" x14ac:dyDescent="0.2">
      <c r="B15" s="68">
        <v>-5</v>
      </c>
      <c r="C15" s="63">
        <f t="shared" si="1"/>
        <v>19.5</v>
      </c>
      <c r="D15" s="64"/>
      <c r="E15" s="63">
        <f t="shared" si="2"/>
        <v>36.700000000000003</v>
      </c>
      <c r="F15" s="60">
        <f t="shared" si="2"/>
        <v>39.1</v>
      </c>
      <c r="G15" s="167">
        <f t="shared" si="2"/>
        <v>41.6</v>
      </c>
      <c r="H15" s="62">
        <f t="shared" si="2"/>
        <v>44</v>
      </c>
      <c r="I15" s="166">
        <f t="shared" si="2"/>
        <v>46.5</v>
      </c>
      <c r="J15" s="62">
        <f t="shared" si="2"/>
        <v>48.9</v>
      </c>
      <c r="K15" s="61">
        <f t="shared" si="2"/>
        <v>51.4</v>
      </c>
      <c r="L15" s="60">
        <f t="shared" si="2"/>
        <v>53.8</v>
      </c>
      <c r="M15" s="60">
        <f t="shared" si="2"/>
        <v>56.3</v>
      </c>
      <c r="N15" s="60">
        <f t="shared" si="2"/>
        <v>58.7</v>
      </c>
      <c r="O15" s="60">
        <f t="shared" si="2"/>
        <v>61.2</v>
      </c>
      <c r="T15" s="96"/>
      <c r="W15" s="103" t="s">
        <v>31</v>
      </c>
      <c r="AG15" s="173">
        <f>HLOOKUP($C$5,$E$9:$O$40,7)+$AA$32</f>
        <v>39.1</v>
      </c>
      <c r="AI15" s="96"/>
      <c r="AJ15" s="93"/>
      <c r="AK15" s="92"/>
      <c r="AL15" s="91"/>
      <c r="AM15" s="91"/>
      <c r="AN15" s="92"/>
      <c r="AO15" s="92"/>
      <c r="AS15" s="104"/>
    </row>
    <row r="16" spans="2:45" ht="15" x14ac:dyDescent="0.25">
      <c r="B16" s="68">
        <v>-4</v>
      </c>
      <c r="C16" s="63">
        <f t="shared" si="1"/>
        <v>19.5</v>
      </c>
      <c r="D16" s="64"/>
      <c r="E16" s="63">
        <f t="shared" si="2"/>
        <v>36</v>
      </c>
      <c r="F16" s="60">
        <f t="shared" si="2"/>
        <v>38.299999999999997</v>
      </c>
      <c r="G16" s="167">
        <f t="shared" si="2"/>
        <v>40.700000000000003</v>
      </c>
      <c r="H16" s="62">
        <f t="shared" si="2"/>
        <v>43</v>
      </c>
      <c r="I16" s="166">
        <f t="shared" si="2"/>
        <v>45.4</v>
      </c>
      <c r="J16" s="62">
        <f t="shared" si="2"/>
        <v>47.7</v>
      </c>
      <c r="K16" s="61">
        <f t="shared" si="2"/>
        <v>50.1</v>
      </c>
      <c r="L16" s="60">
        <f t="shared" si="2"/>
        <v>52.4</v>
      </c>
      <c r="M16" s="60">
        <f t="shared" si="2"/>
        <v>54.8</v>
      </c>
      <c r="N16" s="60">
        <f t="shared" si="2"/>
        <v>57.1</v>
      </c>
      <c r="O16" s="60">
        <f t="shared" si="2"/>
        <v>59.5</v>
      </c>
      <c r="S16" s="2"/>
      <c r="T16" s="96"/>
      <c r="U16" s="79" t="s">
        <v>104</v>
      </c>
      <c r="W16" s="103" t="s">
        <v>32</v>
      </c>
      <c r="AA16" s="79" t="s">
        <v>105</v>
      </c>
      <c r="AG16" s="173">
        <f>HLOOKUP($C$5,$E$9:$O$40,8)+$AA$32</f>
        <v>38.299999999999997</v>
      </c>
      <c r="AI16" s="96"/>
      <c r="AJ16" s="93"/>
      <c r="AK16" s="92"/>
      <c r="AL16" s="91"/>
      <c r="AM16" s="91"/>
      <c r="AN16" s="92"/>
      <c r="AO16" s="92"/>
      <c r="AS16" s="104"/>
    </row>
    <row r="17" spans="2:45" x14ac:dyDescent="0.2">
      <c r="B17" s="68">
        <v>-3</v>
      </c>
      <c r="C17" s="63">
        <f t="shared" si="1"/>
        <v>19.5</v>
      </c>
      <c r="D17" s="64"/>
      <c r="E17" s="63">
        <f t="shared" si="2"/>
        <v>35.299999999999997</v>
      </c>
      <c r="F17" s="60">
        <f t="shared" si="2"/>
        <v>37.5</v>
      </c>
      <c r="G17" s="167">
        <f t="shared" si="2"/>
        <v>39.799999999999997</v>
      </c>
      <c r="H17" s="62">
        <f t="shared" si="2"/>
        <v>42</v>
      </c>
      <c r="I17" s="166">
        <f t="shared" si="2"/>
        <v>44.3</v>
      </c>
      <c r="J17" s="62">
        <f t="shared" si="2"/>
        <v>46.5</v>
      </c>
      <c r="K17" s="61">
        <f t="shared" si="2"/>
        <v>48.8</v>
      </c>
      <c r="L17" s="60">
        <f t="shared" si="2"/>
        <v>51</v>
      </c>
      <c r="M17" s="60">
        <f t="shared" si="2"/>
        <v>53.3</v>
      </c>
      <c r="N17" s="60">
        <f t="shared" si="2"/>
        <v>55.5</v>
      </c>
      <c r="O17" s="60">
        <f t="shared" si="2"/>
        <v>57.8</v>
      </c>
      <c r="T17" s="96"/>
      <c r="U17" t="s">
        <v>78</v>
      </c>
      <c r="AA17" t="s">
        <v>74</v>
      </c>
      <c r="AG17" s="173">
        <f>HLOOKUP($C$5,$E$9:$O$40,9)+$AA$32</f>
        <v>37.5</v>
      </c>
      <c r="AI17" s="96"/>
      <c r="AJ17" s="93"/>
      <c r="AK17" s="92"/>
      <c r="AL17" s="91"/>
      <c r="AM17" s="91"/>
      <c r="AN17" s="92"/>
      <c r="AO17" s="92"/>
      <c r="AS17" s="104"/>
    </row>
    <row r="18" spans="2:45" ht="15" x14ac:dyDescent="0.2">
      <c r="B18" s="68">
        <v>-2</v>
      </c>
      <c r="C18" s="63">
        <f t="shared" si="1"/>
        <v>19.5</v>
      </c>
      <c r="D18" s="64"/>
      <c r="E18" s="63">
        <f t="shared" si="2"/>
        <v>34.6</v>
      </c>
      <c r="F18" s="60">
        <f t="shared" si="2"/>
        <v>36.700000000000003</v>
      </c>
      <c r="G18" s="167">
        <f t="shared" si="2"/>
        <v>38.9</v>
      </c>
      <c r="H18" s="62">
        <f t="shared" si="2"/>
        <v>41</v>
      </c>
      <c r="I18" s="166">
        <f t="shared" si="2"/>
        <v>43.2</v>
      </c>
      <c r="J18" s="62">
        <f t="shared" si="2"/>
        <v>45.3</v>
      </c>
      <c r="K18" s="61">
        <f t="shared" si="2"/>
        <v>47.5</v>
      </c>
      <c r="L18" s="60">
        <f t="shared" si="2"/>
        <v>49.6</v>
      </c>
      <c r="M18" s="60">
        <f t="shared" si="2"/>
        <v>51.8</v>
      </c>
      <c r="N18" s="60">
        <f t="shared" si="2"/>
        <v>53.9</v>
      </c>
      <c r="O18" s="60">
        <f t="shared" si="2"/>
        <v>56.1</v>
      </c>
      <c r="T18" s="96"/>
      <c r="U18" s="162">
        <f>V18+W18*(X18-Y18)</f>
        <v>30.4</v>
      </c>
      <c r="V18" s="161">
        <v>20</v>
      </c>
      <c r="W18" s="170">
        <f>$C$5</f>
        <v>0.79999999999999993</v>
      </c>
      <c r="X18" s="161">
        <f>Voetpunt</f>
        <v>15</v>
      </c>
      <c r="Y18" s="172">
        <f>Tb_sensor</f>
        <v>2</v>
      </c>
      <c r="Z18" s="85" t="str">
        <f>"verschil is "&amp;ROUND(AA18-U18,2)</f>
        <v>verschil is -1</v>
      </c>
      <c r="AA18" s="162">
        <f>AB18+AC18*(AD18-AE18)</f>
        <v>29.4</v>
      </c>
      <c r="AB18" s="171">
        <f>Voetpunt</f>
        <v>15</v>
      </c>
      <c r="AC18" s="87">
        <f>$C$5</f>
        <v>0.79999999999999993</v>
      </c>
      <c r="AD18" s="159">
        <v>20</v>
      </c>
      <c r="AE18" s="158">
        <f>Tb_sensor</f>
        <v>2</v>
      </c>
      <c r="AG18" s="173">
        <f>HLOOKUP($C$5,$E$9:$O$40,10)+$AA$32</f>
        <v>36.700000000000003</v>
      </c>
      <c r="AI18" s="96"/>
      <c r="AJ18" s="93"/>
      <c r="AK18" s="92"/>
      <c r="AL18" s="91"/>
      <c r="AM18" s="91"/>
      <c r="AN18" s="92"/>
      <c r="AO18" s="92"/>
      <c r="AS18" s="104"/>
    </row>
    <row r="19" spans="2:45" x14ac:dyDescent="0.2">
      <c r="B19" s="68">
        <v>-1</v>
      </c>
      <c r="C19" s="63">
        <f t="shared" si="1"/>
        <v>19.5</v>
      </c>
      <c r="D19" s="64"/>
      <c r="E19" s="63">
        <f t="shared" si="2"/>
        <v>33.9</v>
      </c>
      <c r="F19" s="60">
        <f t="shared" si="2"/>
        <v>35.9</v>
      </c>
      <c r="G19" s="167">
        <f t="shared" si="2"/>
        <v>38</v>
      </c>
      <c r="H19" s="62">
        <f t="shared" si="2"/>
        <v>40</v>
      </c>
      <c r="I19" s="166">
        <f t="shared" si="2"/>
        <v>42.1</v>
      </c>
      <c r="J19" s="62">
        <f t="shared" si="2"/>
        <v>44.1</v>
      </c>
      <c r="K19" s="61">
        <f t="shared" si="2"/>
        <v>46.2</v>
      </c>
      <c r="L19" s="60">
        <f t="shared" si="2"/>
        <v>48.2</v>
      </c>
      <c r="M19" s="60">
        <f t="shared" si="2"/>
        <v>50.3</v>
      </c>
      <c r="N19" s="60">
        <f t="shared" si="2"/>
        <v>52.3</v>
      </c>
      <c r="O19" s="60">
        <f t="shared" si="2"/>
        <v>54.4</v>
      </c>
      <c r="T19" s="96"/>
      <c r="Y19" s="151" t="s">
        <v>34</v>
      </c>
      <c r="AG19" s="173">
        <f>HLOOKUP($C$5,$E$9:$O$40,11)+$AA$32</f>
        <v>35.9</v>
      </c>
      <c r="AI19" s="96"/>
      <c r="AJ19" s="93"/>
      <c r="AK19" s="92"/>
      <c r="AL19" s="91"/>
      <c r="AM19" s="91"/>
      <c r="AN19" s="92"/>
      <c r="AO19" s="92"/>
      <c r="AS19" s="104"/>
    </row>
    <row r="20" spans="2:45" ht="15" x14ac:dyDescent="0.25">
      <c r="B20" s="67">
        <v>0</v>
      </c>
      <c r="C20" s="63">
        <f t="shared" si="1"/>
        <v>19.5</v>
      </c>
      <c r="D20" s="64"/>
      <c r="E20" s="63">
        <f t="shared" ref="E20:O29" si="4">IF(Voetpunt=15,ROUND(Tk_gewenst+(Stooklijn*(Tk_gewenst-Tbuiten)),1),ROUND(Voetpunt+(Stooklijn*(Tk_gewenst-Tbuiten)),1))</f>
        <v>33.200000000000003</v>
      </c>
      <c r="F20" s="60">
        <f t="shared" si="4"/>
        <v>35.1</v>
      </c>
      <c r="G20" s="167">
        <f t="shared" si="4"/>
        <v>37.1</v>
      </c>
      <c r="H20" s="62">
        <f t="shared" si="4"/>
        <v>39</v>
      </c>
      <c r="I20" s="166">
        <f t="shared" si="4"/>
        <v>41</v>
      </c>
      <c r="J20" s="62">
        <f t="shared" si="4"/>
        <v>42.9</v>
      </c>
      <c r="K20" s="61">
        <f t="shared" si="4"/>
        <v>44.9</v>
      </c>
      <c r="L20" s="60">
        <f t="shared" si="4"/>
        <v>46.8</v>
      </c>
      <c r="M20" s="60">
        <f t="shared" si="4"/>
        <v>48.8</v>
      </c>
      <c r="N20" s="60">
        <f t="shared" si="4"/>
        <v>50.7</v>
      </c>
      <c r="O20" s="60">
        <f t="shared" si="4"/>
        <v>52.7</v>
      </c>
      <c r="T20" s="96"/>
      <c r="Z20" s="83"/>
      <c r="AG20" s="173">
        <f>HLOOKUP($C$5,$E$9:$O$40,12)+$AA$32</f>
        <v>35.1</v>
      </c>
      <c r="AI20" s="96"/>
      <c r="AJ20" s="93"/>
      <c r="AK20" s="92"/>
      <c r="AL20" s="91"/>
      <c r="AM20" s="91"/>
      <c r="AN20" s="92"/>
      <c r="AO20" s="92"/>
      <c r="AS20" s="104"/>
    </row>
    <row r="21" spans="2:45" x14ac:dyDescent="0.2">
      <c r="B21" s="65">
        <v>1</v>
      </c>
      <c r="C21" s="63">
        <f t="shared" si="1"/>
        <v>19.5</v>
      </c>
      <c r="D21" s="64"/>
      <c r="E21" s="63">
        <f t="shared" si="4"/>
        <v>32.5</v>
      </c>
      <c r="F21" s="60">
        <f t="shared" si="4"/>
        <v>34.299999999999997</v>
      </c>
      <c r="G21" s="167">
        <f t="shared" si="4"/>
        <v>36.200000000000003</v>
      </c>
      <c r="H21" s="62">
        <f t="shared" si="4"/>
        <v>38</v>
      </c>
      <c r="I21" s="166">
        <f t="shared" si="4"/>
        <v>39.9</v>
      </c>
      <c r="J21" s="62">
        <f t="shared" si="4"/>
        <v>41.7</v>
      </c>
      <c r="K21" s="61">
        <f t="shared" si="4"/>
        <v>43.6</v>
      </c>
      <c r="L21" s="60">
        <f t="shared" si="4"/>
        <v>45.4</v>
      </c>
      <c r="M21" s="60">
        <f t="shared" si="4"/>
        <v>47.3</v>
      </c>
      <c r="N21" s="60">
        <f t="shared" si="4"/>
        <v>49.1</v>
      </c>
      <c r="O21" s="60">
        <f t="shared" si="4"/>
        <v>51</v>
      </c>
      <c r="S21" s="2"/>
      <c r="T21" s="96"/>
      <c r="AG21" s="173">
        <f>HLOOKUP($C$5,$E$9:$O$40,13)+$AA$32</f>
        <v>34.299999999999997</v>
      </c>
      <c r="AI21" s="96"/>
      <c r="AJ21" s="93"/>
      <c r="AK21" s="92"/>
      <c r="AL21" s="91"/>
      <c r="AM21" s="91"/>
      <c r="AN21" s="92"/>
      <c r="AO21" s="92"/>
      <c r="AS21" s="104"/>
    </row>
    <row r="22" spans="2:45" ht="15" x14ac:dyDescent="0.25">
      <c r="B22" s="65">
        <v>2</v>
      </c>
      <c r="C22" s="63">
        <f t="shared" si="1"/>
        <v>19.5</v>
      </c>
      <c r="D22" s="64"/>
      <c r="E22" s="63">
        <f t="shared" si="4"/>
        <v>31.8</v>
      </c>
      <c r="F22" s="60">
        <f t="shared" si="4"/>
        <v>33.5</v>
      </c>
      <c r="G22" s="167">
        <f t="shared" si="4"/>
        <v>35.299999999999997</v>
      </c>
      <c r="H22" s="62">
        <f t="shared" si="4"/>
        <v>37</v>
      </c>
      <c r="I22" s="166">
        <f t="shared" si="4"/>
        <v>38.799999999999997</v>
      </c>
      <c r="J22" s="62">
        <f t="shared" si="4"/>
        <v>40.5</v>
      </c>
      <c r="K22" s="61">
        <f t="shared" si="4"/>
        <v>42.3</v>
      </c>
      <c r="L22" s="60">
        <f t="shared" si="4"/>
        <v>44</v>
      </c>
      <c r="M22" s="60">
        <f t="shared" si="4"/>
        <v>45.8</v>
      </c>
      <c r="N22" s="60">
        <f t="shared" si="4"/>
        <v>47.5</v>
      </c>
      <c r="O22" s="60">
        <f t="shared" si="4"/>
        <v>49.3</v>
      </c>
      <c r="T22" s="96"/>
      <c r="U22" s="79" t="s">
        <v>106</v>
      </c>
      <c r="AA22" s="79" t="s">
        <v>107</v>
      </c>
      <c r="AG22" s="173">
        <f>HLOOKUP($C$5,$E$9:$O$40,14)+$AA$32</f>
        <v>33.5</v>
      </c>
      <c r="AI22" s="96"/>
      <c r="AJ22" s="93"/>
      <c r="AK22" s="92"/>
      <c r="AL22" s="91"/>
      <c r="AM22" s="91"/>
      <c r="AN22" s="91"/>
      <c r="AO22" s="91"/>
      <c r="AS22" s="104"/>
    </row>
    <row r="23" spans="2:45" ht="18.75" x14ac:dyDescent="0.35">
      <c r="B23" s="65">
        <v>3</v>
      </c>
      <c r="C23" s="63">
        <f t="shared" si="1"/>
        <v>19.5</v>
      </c>
      <c r="D23" s="64"/>
      <c r="E23" s="63">
        <f t="shared" si="4"/>
        <v>31.1</v>
      </c>
      <c r="F23" s="60">
        <f t="shared" si="4"/>
        <v>32.700000000000003</v>
      </c>
      <c r="G23" s="167">
        <f t="shared" si="4"/>
        <v>34.4</v>
      </c>
      <c r="H23" s="62">
        <f t="shared" si="4"/>
        <v>36</v>
      </c>
      <c r="I23" s="166">
        <f t="shared" si="4"/>
        <v>37.700000000000003</v>
      </c>
      <c r="J23" s="62">
        <f t="shared" si="4"/>
        <v>39.299999999999997</v>
      </c>
      <c r="K23" s="61">
        <f t="shared" si="4"/>
        <v>41</v>
      </c>
      <c r="L23" s="60">
        <f t="shared" si="4"/>
        <v>42.6</v>
      </c>
      <c r="M23" s="60">
        <f t="shared" si="4"/>
        <v>44.3</v>
      </c>
      <c r="N23" s="60">
        <f t="shared" si="4"/>
        <v>45.9</v>
      </c>
      <c r="O23" s="60">
        <f t="shared" si="4"/>
        <v>47.6</v>
      </c>
      <c r="T23" s="96"/>
      <c r="U23" t="s">
        <v>101</v>
      </c>
      <c r="AA23" t="s">
        <v>110</v>
      </c>
      <c r="AG23" s="173">
        <f>HLOOKUP($C$5,$E$9:$O$40,15)+$AA$32</f>
        <v>32.700000000000003</v>
      </c>
      <c r="AI23" s="96"/>
      <c r="AJ23" s="93"/>
      <c r="AK23" s="92"/>
      <c r="AL23" s="91"/>
      <c r="AM23" s="91"/>
      <c r="AN23" s="91"/>
      <c r="AO23" s="91"/>
      <c r="AS23" s="104"/>
    </row>
    <row r="24" spans="2:45" ht="15" x14ac:dyDescent="0.2">
      <c r="B24" s="65">
        <v>4</v>
      </c>
      <c r="C24" s="63">
        <f t="shared" si="1"/>
        <v>19.5</v>
      </c>
      <c r="D24" s="64"/>
      <c r="E24" s="63">
        <f t="shared" si="4"/>
        <v>30.4</v>
      </c>
      <c r="F24" s="60">
        <f t="shared" si="4"/>
        <v>31.9</v>
      </c>
      <c r="G24" s="167">
        <f t="shared" si="4"/>
        <v>33.5</v>
      </c>
      <c r="H24" s="62">
        <f t="shared" si="4"/>
        <v>35</v>
      </c>
      <c r="I24" s="166">
        <f t="shared" si="4"/>
        <v>36.6</v>
      </c>
      <c r="J24" s="62">
        <f t="shared" si="4"/>
        <v>38.1</v>
      </c>
      <c r="K24" s="61">
        <f t="shared" si="4"/>
        <v>39.700000000000003</v>
      </c>
      <c r="L24" s="60">
        <f t="shared" si="4"/>
        <v>41.2</v>
      </c>
      <c r="M24" s="60">
        <f t="shared" si="4"/>
        <v>42.8</v>
      </c>
      <c r="N24" s="60">
        <f t="shared" si="4"/>
        <v>44.3</v>
      </c>
      <c r="O24" s="60">
        <f t="shared" si="4"/>
        <v>45.9</v>
      </c>
      <c r="T24" s="96"/>
      <c r="U24" s="180">
        <f>V24+W24*(X24-Y24)</f>
        <v>29</v>
      </c>
      <c r="V24" s="181">
        <f>Voetpunt</f>
        <v>15</v>
      </c>
      <c r="W24" s="182">
        <f>$C$5</f>
        <v>0.79999999999999993</v>
      </c>
      <c r="X24" s="185">
        <f>Tk_gewenst</f>
        <v>19.5</v>
      </c>
      <c r="Y24" s="183">
        <f>Tb_sensor</f>
        <v>2</v>
      </c>
      <c r="AA24" s="162">
        <f>AB24+AC24*(AD24-AE24)</f>
        <v>9.6000000000000014</v>
      </c>
      <c r="AB24" s="171">
        <v>20</v>
      </c>
      <c r="AC24" s="210">
        <f>$C$5</f>
        <v>0.79999999999999993</v>
      </c>
      <c r="AD24" s="159">
        <f>Tb_sensor</f>
        <v>2</v>
      </c>
      <c r="AE24" s="211">
        <f>Voetpunt</f>
        <v>15</v>
      </c>
      <c r="AG24" s="173">
        <f>HLOOKUP($C$5,$E$9:$O$40,16)+$AA$32</f>
        <v>31.9</v>
      </c>
      <c r="AI24" s="96"/>
      <c r="AJ24" s="93"/>
      <c r="AK24" s="92"/>
      <c r="AL24" s="91"/>
      <c r="AM24" s="91"/>
      <c r="AN24" s="91"/>
      <c r="AO24" s="91"/>
      <c r="AS24" s="104"/>
    </row>
    <row r="25" spans="2:45" x14ac:dyDescent="0.2">
      <c r="B25" s="65">
        <v>5</v>
      </c>
      <c r="C25" s="63">
        <f t="shared" si="1"/>
        <v>19.5</v>
      </c>
      <c r="D25" s="64"/>
      <c r="E25" s="63">
        <f t="shared" si="4"/>
        <v>29.7</v>
      </c>
      <c r="F25" s="60">
        <f t="shared" si="4"/>
        <v>31.1</v>
      </c>
      <c r="G25" s="167">
        <f t="shared" si="4"/>
        <v>32.6</v>
      </c>
      <c r="H25" s="62">
        <f t="shared" si="4"/>
        <v>34</v>
      </c>
      <c r="I25" s="166">
        <f t="shared" si="4"/>
        <v>35.5</v>
      </c>
      <c r="J25" s="62">
        <f t="shared" si="4"/>
        <v>36.9</v>
      </c>
      <c r="K25" s="61">
        <f t="shared" si="4"/>
        <v>38.4</v>
      </c>
      <c r="L25" s="60">
        <f t="shared" si="4"/>
        <v>39.799999999999997</v>
      </c>
      <c r="M25" s="60">
        <f t="shared" si="4"/>
        <v>41.3</v>
      </c>
      <c r="N25" s="60">
        <f t="shared" si="4"/>
        <v>42.7</v>
      </c>
      <c r="O25" s="60">
        <f t="shared" si="4"/>
        <v>44.2</v>
      </c>
      <c r="T25" s="96"/>
      <c r="U25" s="216" t="s">
        <v>112</v>
      </c>
      <c r="AG25" s="173">
        <f>HLOOKUP($C$5,$E$9:$O$40,17)+$AA$32</f>
        <v>31.1</v>
      </c>
      <c r="AI25" s="96"/>
      <c r="AJ25" s="93"/>
      <c r="AK25" s="92"/>
      <c r="AL25" s="91"/>
      <c r="AM25" s="91"/>
      <c r="AN25" s="91"/>
      <c r="AO25" s="91"/>
      <c r="AS25" s="104"/>
    </row>
    <row r="26" spans="2:45" ht="16.5" x14ac:dyDescent="0.35">
      <c r="B26" s="65">
        <v>6</v>
      </c>
      <c r="C26" s="63">
        <f t="shared" si="1"/>
        <v>19.5</v>
      </c>
      <c r="D26" s="64"/>
      <c r="E26" s="63">
        <f t="shared" si="4"/>
        <v>29</v>
      </c>
      <c r="F26" s="60">
        <f t="shared" si="4"/>
        <v>30.3</v>
      </c>
      <c r="G26" s="167">
        <f t="shared" si="4"/>
        <v>31.7</v>
      </c>
      <c r="H26" s="62">
        <f t="shared" si="4"/>
        <v>33</v>
      </c>
      <c r="I26" s="166">
        <f t="shared" si="4"/>
        <v>34.4</v>
      </c>
      <c r="J26" s="62">
        <f t="shared" si="4"/>
        <v>35.700000000000003</v>
      </c>
      <c r="K26" s="61">
        <f t="shared" si="4"/>
        <v>37.1</v>
      </c>
      <c r="L26" s="60">
        <f t="shared" si="4"/>
        <v>38.4</v>
      </c>
      <c r="M26" s="60">
        <f t="shared" si="4"/>
        <v>39.799999999999997</v>
      </c>
      <c r="N26" s="60">
        <f t="shared" si="4"/>
        <v>41.1</v>
      </c>
      <c r="O26" s="60">
        <f t="shared" si="4"/>
        <v>42.5</v>
      </c>
      <c r="T26" s="96"/>
      <c r="U26" s="216" t="s">
        <v>113</v>
      </c>
      <c r="AA26" s="213" t="s">
        <v>92</v>
      </c>
      <c r="AG26" s="173">
        <f>HLOOKUP($C$5,$E$9:$O$40,18)+$AA$32</f>
        <v>30.3</v>
      </c>
      <c r="AI26" s="96"/>
      <c r="AJ26" s="93"/>
      <c r="AK26" s="92"/>
      <c r="AL26" s="91"/>
      <c r="AM26" s="91"/>
      <c r="AN26" s="91"/>
      <c r="AO26" s="91"/>
      <c r="AS26" s="104"/>
    </row>
    <row r="27" spans="2:45" x14ac:dyDescent="0.2">
      <c r="B27" s="65">
        <v>7</v>
      </c>
      <c r="C27" s="63">
        <f t="shared" si="1"/>
        <v>19.5</v>
      </c>
      <c r="D27" s="64"/>
      <c r="E27" s="63">
        <f t="shared" si="4"/>
        <v>28.3</v>
      </c>
      <c r="F27" s="60">
        <f t="shared" si="4"/>
        <v>29.5</v>
      </c>
      <c r="G27" s="167">
        <f t="shared" si="4"/>
        <v>30.8</v>
      </c>
      <c r="H27" s="62">
        <f t="shared" si="4"/>
        <v>32</v>
      </c>
      <c r="I27" s="166">
        <f t="shared" si="4"/>
        <v>33.299999999999997</v>
      </c>
      <c r="J27" s="62">
        <f t="shared" si="4"/>
        <v>34.5</v>
      </c>
      <c r="K27" s="61">
        <f t="shared" si="4"/>
        <v>35.799999999999997</v>
      </c>
      <c r="L27" s="60">
        <f t="shared" si="4"/>
        <v>37</v>
      </c>
      <c r="M27" s="60">
        <f t="shared" si="4"/>
        <v>38.299999999999997</v>
      </c>
      <c r="N27" s="60">
        <f t="shared" si="4"/>
        <v>39.5</v>
      </c>
      <c r="O27" s="60">
        <f t="shared" si="4"/>
        <v>40.799999999999997</v>
      </c>
      <c r="T27" s="96"/>
      <c r="AG27" s="173">
        <f>HLOOKUP($C$5,$E$9:$O$40,19)+$AA$32</f>
        <v>29.5</v>
      </c>
      <c r="AI27" s="96"/>
      <c r="AJ27" s="93"/>
      <c r="AK27" s="92"/>
      <c r="AL27" s="91"/>
      <c r="AM27" s="91"/>
      <c r="AN27" s="91"/>
      <c r="AO27" s="91"/>
      <c r="AS27" s="104"/>
    </row>
    <row r="28" spans="2:45" x14ac:dyDescent="0.2">
      <c r="B28" s="65">
        <v>8</v>
      </c>
      <c r="C28" s="63">
        <f t="shared" si="1"/>
        <v>19.5</v>
      </c>
      <c r="D28" s="64"/>
      <c r="E28" s="63">
        <f t="shared" si="4"/>
        <v>27.6</v>
      </c>
      <c r="F28" s="60">
        <f t="shared" si="4"/>
        <v>28.7</v>
      </c>
      <c r="G28" s="167">
        <f t="shared" si="4"/>
        <v>29.9</v>
      </c>
      <c r="H28" s="62">
        <f t="shared" si="4"/>
        <v>31</v>
      </c>
      <c r="I28" s="166">
        <f t="shared" si="4"/>
        <v>32.200000000000003</v>
      </c>
      <c r="J28" s="62">
        <f t="shared" si="4"/>
        <v>33.299999999999997</v>
      </c>
      <c r="K28" s="61">
        <f t="shared" si="4"/>
        <v>34.5</v>
      </c>
      <c r="L28" s="60">
        <f t="shared" si="4"/>
        <v>35.6</v>
      </c>
      <c r="M28" s="60">
        <f t="shared" si="4"/>
        <v>36.799999999999997</v>
      </c>
      <c r="N28" s="60">
        <f t="shared" si="4"/>
        <v>37.9</v>
      </c>
      <c r="O28" s="60">
        <f t="shared" si="4"/>
        <v>39.1</v>
      </c>
      <c r="Q28" s="66"/>
      <c r="R28" s="66"/>
      <c r="T28" s="96"/>
      <c r="AG28" s="173">
        <f>HLOOKUP($C$5,$E$9:$O$40,20)+$AA$32</f>
        <v>28.7</v>
      </c>
      <c r="AI28" s="96"/>
      <c r="AJ28" s="93"/>
      <c r="AK28" s="92"/>
      <c r="AL28" s="91"/>
      <c r="AM28" s="91"/>
      <c r="AN28" s="91"/>
      <c r="AO28" s="91"/>
      <c r="AS28" s="104"/>
    </row>
    <row r="29" spans="2:45" x14ac:dyDescent="0.2">
      <c r="B29" s="65">
        <v>9</v>
      </c>
      <c r="C29" s="63">
        <f t="shared" si="1"/>
        <v>19.5</v>
      </c>
      <c r="D29" s="64"/>
      <c r="E29" s="63">
        <f t="shared" si="4"/>
        <v>26.9</v>
      </c>
      <c r="F29" s="60">
        <f t="shared" si="4"/>
        <v>27.9</v>
      </c>
      <c r="G29" s="167">
        <f t="shared" si="4"/>
        <v>29</v>
      </c>
      <c r="H29" s="62">
        <f t="shared" si="4"/>
        <v>30</v>
      </c>
      <c r="I29" s="166">
        <f t="shared" si="4"/>
        <v>31.1</v>
      </c>
      <c r="J29" s="62">
        <f t="shared" si="4"/>
        <v>32.1</v>
      </c>
      <c r="K29" s="61">
        <f t="shared" si="4"/>
        <v>33.200000000000003</v>
      </c>
      <c r="L29" s="60">
        <f t="shared" si="4"/>
        <v>34.200000000000003</v>
      </c>
      <c r="M29" s="60">
        <f t="shared" si="4"/>
        <v>35.299999999999997</v>
      </c>
      <c r="N29" s="60">
        <f t="shared" si="4"/>
        <v>36.299999999999997</v>
      </c>
      <c r="O29" s="60">
        <f t="shared" si="4"/>
        <v>37.4</v>
      </c>
      <c r="T29" s="96"/>
      <c r="AG29" s="173">
        <f>HLOOKUP($C$5,$E$9:$O$40,21)+$AA$32</f>
        <v>27.9</v>
      </c>
      <c r="AI29" s="96"/>
      <c r="AJ29" s="93"/>
      <c r="AK29" s="92"/>
      <c r="AL29" s="91"/>
      <c r="AM29" s="91"/>
      <c r="AN29" s="91"/>
      <c r="AO29" s="91"/>
      <c r="AS29" s="104"/>
    </row>
    <row r="30" spans="2:45" ht="15" x14ac:dyDescent="0.25">
      <c r="B30" s="65">
        <v>10</v>
      </c>
      <c r="C30" s="63">
        <f t="shared" si="1"/>
        <v>19.5</v>
      </c>
      <c r="D30" s="64"/>
      <c r="E30" s="63">
        <f t="shared" ref="E30:O40" si="5">IF(Voetpunt=15,ROUND(Tk_gewenst+(Stooklijn*(Tk_gewenst-Tbuiten)),1),ROUND(Voetpunt+(Stooklijn*(Tk_gewenst-Tbuiten)),1))</f>
        <v>26.2</v>
      </c>
      <c r="F30" s="60">
        <f t="shared" si="5"/>
        <v>27.1</v>
      </c>
      <c r="G30" s="167">
        <f t="shared" si="5"/>
        <v>28.1</v>
      </c>
      <c r="H30" s="62">
        <f t="shared" si="5"/>
        <v>29</v>
      </c>
      <c r="I30" s="166">
        <f t="shared" si="5"/>
        <v>30</v>
      </c>
      <c r="J30" s="62">
        <f t="shared" si="5"/>
        <v>30.9</v>
      </c>
      <c r="K30" s="61">
        <f t="shared" si="5"/>
        <v>31.9</v>
      </c>
      <c r="L30" s="60">
        <f t="shared" si="5"/>
        <v>32.799999999999997</v>
      </c>
      <c r="M30" s="60">
        <f t="shared" si="5"/>
        <v>33.799999999999997</v>
      </c>
      <c r="N30" s="60">
        <f t="shared" si="5"/>
        <v>34.700000000000003</v>
      </c>
      <c r="O30" s="60">
        <f t="shared" si="5"/>
        <v>35.700000000000003</v>
      </c>
      <c r="T30" s="96"/>
      <c r="U30" s="79" t="s">
        <v>108</v>
      </c>
      <c r="X30" s="212" t="s">
        <v>99</v>
      </c>
      <c r="AA30" s="79" t="s">
        <v>109</v>
      </c>
      <c r="AD30" s="212" t="s">
        <v>91</v>
      </c>
      <c r="AG30" s="173">
        <f>HLOOKUP($C$5,$E$9:$O$40,22)+$AA$32</f>
        <v>27.1</v>
      </c>
      <c r="AI30" s="96"/>
      <c r="AJ30" s="93"/>
      <c r="AK30" s="92"/>
      <c r="AL30" s="91"/>
      <c r="AM30" s="91"/>
      <c r="AN30" s="91"/>
      <c r="AO30" s="91"/>
      <c r="AS30" s="104"/>
    </row>
    <row r="31" spans="2:45" ht="18.75" x14ac:dyDescent="0.35">
      <c r="B31" s="65">
        <v>11</v>
      </c>
      <c r="C31" s="63">
        <f t="shared" si="1"/>
        <v>19.5</v>
      </c>
      <c r="D31" s="64"/>
      <c r="E31" s="63">
        <f t="shared" si="5"/>
        <v>25.5</v>
      </c>
      <c r="F31" s="60">
        <f t="shared" si="5"/>
        <v>26.3</v>
      </c>
      <c r="G31" s="167">
        <f t="shared" si="5"/>
        <v>27.2</v>
      </c>
      <c r="H31" s="62">
        <f t="shared" si="5"/>
        <v>28</v>
      </c>
      <c r="I31" s="166">
        <f t="shared" si="5"/>
        <v>28.9</v>
      </c>
      <c r="J31" s="62">
        <f t="shared" si="5"/>
        <v>29.7</v>
      </c>
      <c r="K31" s="61">
        <f t="shared" si="5"/>
        <v>30.6</v>
      </c>
      <c r="L31" s="60">
        <f t="shared" si="5"/>
        <v>31.4</v>
      </c>
      <c r="M31" s="60">
        <f t="shared" si="5"/>
        <v>32.299999999999997</v>
      </c>
      <c r="N31" s="60">
        <f t="shared" si="5"/>
        <v>33.1</v>
      </c>
      <c r="O31" s="60">
        <f t="shared" si="5"/>
        <v>34</v>
      </c>
      <c r="S31" s="2"/>
      <c r="T31" s="96"/>
      <c r="U31" t="s">
        <v>100</v>
      </c>
      <c r="AA31" s="84" t="s">
        <v>102</v>
      </c>
      <c r="AG31" s="173">
        <f>HLOOKUP($C$5,$E$9:$O$40,23)+$AA$32</f>
        <v>26.3</v>
      </c>
      <c r="AI31" s="96"/>
      <c r="AJ31" s="93"/>
      <c r="AK31" s="92"/>
      <c r="AL31" s="91"/>
      <c r="AM31" s="91"/>
      <c r="AN31" s="91"/>
      <c r="AO31" s="91"/>
      <c r="AS31" s="104"/>
    </row>
    <row r="32" spans="2:45" ht="15" x14ac:dyDescent="0.2">
      <c r="B32" s="65">
        <v>12</v>
      </c>
      <c r="C32" s="63">
        <f t="shared" si="1"/>
        <v>19.5</v>
      </c>
      <c r="D32" s="64"/>
      <c r="E32" s="63">
        <f t="shared" si="5"/>
        <v>24.8</v>
      </c>
      <c r="F32" s="60">
        <f t="shared" si="5"/>
        <v>25.5</v>
      </c>
      <c r="G32" s="167">
        <f t="shared" si="5"/>
        <v>26.3</v>
      </c>
      <c r="H32" s="62">
        <f t="shared" si="5"/>
        <v>27</v>
      </c>
      <c r="I32" s="166">
        <f t="shared" si="5"/>
        <v>27.8</v>
      </c>
      <c r="J32" s="62">
        <f t="shared" si="5"/>
        <v>28.5</v>
      </c>
      <c r="K32" s="61">
        <f t="shared" si="5"/>
        <v>29.3</v>
      </c>
      <c r="L32" s="60">
        <f t="shared" si="5"/>
        <v>30</v>
      </c>
      <c r="M32" s="60">
        <f t="shared" si="5"/>
        <v>30.8</v>
      </c>
      <c r="N32" s="60">
        <f t="shared" si="5"/>
        <v>31.5</v>
      </c>
      <c r="O32" s="60">
        <f t="shared" si="5"/>
        <v>32.299999999999997</v>
      </c>
      <c r="S32" s="2"/>
      <c r="T32" s="96"/>
      <c r="U32" s="180">
        <f>(V32-W32)*X32+Y32</f>
        <v>29</v>
      </c>
      <c r="V32" s="184">
        <f>Tk_gewenst</f>
        <v>19.5</v>
      </c>
      <c r="W32" s="220">
        <f>Tb_sensor</f>
        <v>2</v>
      </c>
      <c r="X32" s="219">
        <f>C5</f>
        <v>0.79999999999999993</v>
      </c>
      <c r="Y32" s="214">
        <f>Voetpunt</f>
        <v>15</v>
      </c>
      <c r="AA32" s="180">
        <f>IF((AB32-AC32)*AD32*AE32&gt;20,20,(AB32-AC32)*AD32*AE32)</f>
        <v>0</v>
      </c>
      <c r="AB32" s="184">
        <f>Tk_gewenst</f>
        <v>19.5</v>
      </c>
      <c r="AC32" s="218">
        <v>19.5</v>
      </c>
      <c r="AD32" s="182">
        <f>1+$C$5</f>
        <v>1.7999999999999998</v>
      </c>
      <c r="AE32" s="217">
        <v>3</v>
      </c>
      <c r="AG32" s="173">
        <f>HLOOKUP($C$5,$E$9:$O$40,24)+$AA$32</f>
        <v>25.5</v>
      </c>
      <c r="AI32" s="96"/>
      <c r="AJ32" s="93"/>
      <c r="AK32" s="92"/>
      <c r="AL32" s="91"/>
      <c r="AM32" s="91"/>
      <c r="AN32" s="91"/>
      <c r="AO32" s="91"/>
      <c r="AS32" s="104"/>
    </row>
    <row r="33" spans="1:45" x14ac:dyDescent="0.2">
      <c r="B33" s="65">
        <v>13</v>
      </c>
      <c r="C33" s="63">
        <f t="shared" si="1"/>
        <v>19.5</v>
      </c>
      <c r="D33" s="64"/>
      <c r="E33" s="63">
        <f t="shared" si="5"/>
        <v>24.1</v>
      </c>
      <c r="F33" s="60">
        <f t="shared" si="5"/>
        <v>24.7</v>
      </c>
      <c r="G33" s="167">
        <f t="shared" si="5"/>
        <v>25.4</v>
      </c>
      <c r="H33" s="62">
        <f t="shared" si="5"/>
        <v>26</v>
      </c>
      <c r="I33" s="166">
        <f t="shared" si="5"/>
        <v>26.7</v>
      </c>
      <c r="J33" s="62">
        <f t="shared" si="5"/>
        <v>27.3</v>
      </c>
      <c r="K33" s="61">
        <f t="shared" si="5"/>
        <v>28</v>
      </c>
      <c r="L33" s="60">
        <f t="shared" si="5"/>
        <v>28.6</v>
      </c>
      <c r="M33" s="60">
        <f t="shared" si="5"/>
        <v>29.3</v>
      </c>
      <c r="N33" s="60">
        <f t="shared" si="5"/>
        <v>29.9</v>
      </c>
      <c r="O33" s="60">
        <f t="shared" si="5"/>
        <v>30.6</v>
      </c>
      <c r="S33" s="53"/>
      <c r="T33" s="96"/>
      <c r="Y33" s="107" t="s">
        <v>93</v>
      </c>
      <c r="AG33" s="173">
        <f>HLOOKUP($C$5,$E$9:$O$40,25)+$AA$32</f>
        <v>24.7</v>
      </c>
      <c r="AI33" s="96"/>
      <c r="AJ33" s="93"/>
      <c r="AK33" s="92"/>
      <c r="AL33" s="91"/>
      <c r="AM33" s="91"/>
      <c r="AN33" s="91"/>
      <c r="AO33" s="91"/>
      <c r="AS33" s="104"/>
    </row>
    <row r="34" spans="1:45" x14ac:dyDescent="0.2">
      <c r="B34" s="65">
        <v>14</v>
      </c>
      <c r="C34" s="63">
        <f t="shared" si="1"/>
        <v>19.5</v>
      </c>
      <c r="D34" s="64"/>
      <c r="E34" s="63">
        <f t="shared" si="5"/>
        <v>23.4</v>
      </c>
      <c r="F34" s="60">
        <f t="shared" si="5"/>
        <v>23.9</v>
      </c>
      <c r="G34" s="167">
        <f t="shared" si="5"/>
        <v>24.5</v>
      </c>
      <c r="H34" s="62">
        <f t="shared" si="5"/>
        <v>25</v>
      </c>
      <c r="I34" s="166">
        <f t="shared" si="5"/>
        <v>25.6</v>
      </c>
      <c r="J34" s="62">
        <f t="shared" si="5"/>
        <v>26.1</v>
      </c>
      <c r="K34" s="61">
        <f t="shared" si="5"/>
        <v>26.7</v>
      </c>
      <c r="L34" s="60">
        <f t="shared" si="5"/>
        <v>27.2</v>
      </c>
      <c r="M34" s="60">
        <f t="shared" si="5"/>
        <v>27.8</v>
      </c>
      <c r="N34" s="60">
        <f t="shared" si="5"/>
        <v>28.3</v>
      </c>
      <c r="O34" s="60">
        <f t="shared" si="5"/>
        <v>28.9</v>
      </c>
      <c r="S34" s="53"/>
      <c r="T34" s="96"/>
      <c r="Y34" s="107" t="s">
        <v>95</v>
      </c>
      <c r="AG34" s="173">
        <f>HLOOKUP($C$5,$E$9:$O$40,26)+$AA$32</f>
        <v>23.9</v>
      </c>
      <c r="AI34" s="96"/>
      <c r="AJ34" s="93"/>
      <c r="AK34" s="92"/>
      <c r="AL34" s="91"/>
      <c r="AM34" s="91"/>
      <c r="AN34" s="91"/>
      <c r="AO34" s="91"/>
      <c r="AS34" s="104"/>
    </row>
    <row r="35" spans="1:45" x14ac:dyDescent="0.2">
      <c r="B35" s="65">
        <v>15</v>
      </c>
      <c r="C35" s="63">
        <f t="shared" si="1"/>
        <v>19.5</v>
      </c>
      <c r="D35" s="64"/>
      <c r="E35" s="63">
        <f t="shared" si="5"/>
        <v>22.7</v>
      </c>
      <c r="F35" s="60">
        <f t="shared" si="5"/>
        <v>23.1</v>
      </c>
      <c r="G35" s="167">
        <f t="shared" si="5"/>
        <v>23.6</v>
      </c>
      <c r="H35" s="62">
        <f t="shared" si="5"/>
        <v>24</v>
      </c>
      <c r="I35" s="166">
        <f t="shared" si="5"/>
        <v>24.5</v>
      </c>
      <c r="J35" s="62">
        <f t="shared" si="5"/>
        <v>24.9</v>
      </c>
      <c r="K35" s="61">
        <f t="shared" si="5"/>
        <v>25.4</v>
      </c>
      <c r="L35" s="60">
        <f t="shared" si="5"/>
        <v>25.8</v>
      </c>
      <c r="M35" s="60">
        <f t="shared" si="5"/>
        <v>26.3</v>
      </c>
      <c r="N35" s="60">
        <f t="shared" si="5"/>
        <v>26.7</v>
      </c>
      <c r="O35" s="60">
        <f t="shared" si="5"/>
        <v>27.2</v>
      </c>
      <c r="T35" s="96"/>
      <c r="AG35" s="173">
        <f>HLOOKUP($C$5,$E$9:$O$40,27)+$AA$32</f>
        <v>23.1</v>
      </c>
      <c r="AI35" s="96"/>
      <c r="AJ35" s="93"/>
      <c r="AK35" s="92"/>
      <c r="AL35" s="91"/>
      <c r="AM35" s="91"/>
      <c r="AN35" s="91"/>
      <c r="AO35" s="91"/>
      <c r="AS35" s="104"/>
    </row>
    <row r="36" spans="1:45" x14ac:dyDescent="0.2">
      <c r="B36" s="65">
        <v>16</v>
      </c>
      <c r="C36" s="63">
        <f t="shared" si="1"/>
        <v>19.5</v>
      </c>
      <c r="D36" s="64"/>
      <c r="E36" s="63">
        <f t="shared" si="5"/>
        <v>22</v>
      </c>
      <c r="F36" s="60">
        <f t="shared" si="5"/>
        <v>22.3</v>
      </c>
      <c r="G36" s="167">
        <f t="shared" si="5"/>
        <v>22.7</v>
      </c>
      <c r="H36" s="62">
        <f t="shared" si="5"/>
        <v>23</v>
      </c>
      <c r="I36" s="166">
        <f t="shared" si="5"/>
        <v>23.4</v>
      </c>
      <c r="J36" s="62">
        <f t="shared" si="5"/>
        <v>23.7</v>
      </c>
      <c r="K36" s="61">
        <f t="shared" si="5"/>
        <v>24.1</v>
      </c>
      <c r="L36" s="60">
        <f t="shared" si="5"/>
        <v>24.4</v>
      </c>
      <c r="M36" s="60">
        <f t="shared" si="5"/>
        <v>24.8</v>
      </c>
      <c r="N36" s="60">
        <f t="shared" si="5"/>
        <v>25.1</v>
      </c>
      <c r="O36" s="60">
        <f t="shared" si="5"/>
        <v>25.5</v>
      </c>
      <c r="T36" s="96"/>
      <c r="AG36" s="173">
        <f>HLOOKUP($C$5,$E$9:$O$40,28)+$AA$32</f>
        <v>22.3</v>
      </c>
      <c r="AI36" s="96"/>
      <c r="AJ36" s="93"/>
      <c r="AK36" s="92"/>
      <c r="AL36" s="91"/>
      <c r="AM36" s="91"/>
      <c r="AN36" s="91"/>
      <c r="AO36" s="91"/>
      <c r="AS36" s="104"/>
    </row>
    <row r="37" spans="1:45" x14ac:dyDescent="0.2">
      <c r="B37" s="65">
        <v>17</v>
      </c>
      <c r="C37" s="63">
        <f t="shared" si="1"/>
        <v>19.5</v>
      </c>
      <c r="D37" s="64"/>
      <c r="E37" s="63">
        <f t="shared" si="5"/>
        <v>21.3</v>
      </c>
      <c r="F37" s="60">
        <f t="shared" si="5"/>
        <v>21.5</v>
      </c>
      <c r="G37" s="167">
        <f t="shared" si="5"/>
        <v>21.8</v>
      </c>
      <c r="H37" s="62">
        <f t="shared" si="5"/>
        <v>22</v>
      </c>
      <c r="I37" s="166">
        <f t="shared" si="5"/>
        <v>22.3</v>
      </c>
      <c r="J37" s="62">
        <f t="shared" si="5"/>
        <v>22.5</v>
      </c>
      <c r="K37" s="61">
        <f t="shared" si="5"/>
        <v>22.8</v>
      </c>
      <c r="L37" s="60">
        <f t="shared" si="5"/>
        <v>23</v>
      </c>
      <c r="M37" s="60">
        <f t="shared" si="5"/>
        <v>23.3</v>
      </c>
      <c r="N37" s="60">
        <f t="shared" si="5"/>
        <v>23.5</v>
      </c>
      <c r="O37" s="60">
        <f t="shared" si="5"/>
        <v>23.8</v>
      </c>
      <c r="T37" s="96"/>
      <c r="AG37" s="173">
        <f>HLOOKUP($C$5,$E$9:$O$40,29)+$AA$32</f>
        <v>21.5</v>
      </c>
      <c r="AI37" s="96"/>
      <c r="AJ37" s="93"/>
      <c r="AK37" s="92"/>
      <c r="AL37" s="91"/>
      <c r="AM37" s="91"/>
      <c r="AN37" s="91"/>
      <c r="AO37" s="91"/>
      <c r="AS37" s="104"/>
    </row>
    <row r="38" spans="1:45" x14ac:dyDescent="0.2">
      <c r="B38" s="65">
        <v>18</v>
      </c>
      <c r="C38" s="63">
        <f t="shared" si="1"/>
        <v>19.5</v>
      </c>
      <c r="D38" s="64"/>
      <c r="E38" s="63">
        <f t="shared" si="5"/>
        <v>20.6</v>
      </c>
      <c r="F38" s="60">
        <f t="shared" si="5"/>
        <v>20.7</v>
      </c>
      <c r="G38" s="167">
        <f t="shared" si="5"/>
        <v>20.9</v>
      </c>
      <c r="H38" s="62">
        <f t="shared" si="5"/>
        <v>21</v>
      </c>
      <c r="I38" s="166">
        <f t="shared" si="5"/>
        <v>21.2</v>
      </c>
      <c r="J38" s="62">
        <f t="shared" si="5"/>
        <v>21.3</v>
      </c>
      <c r="K38" s="61">
        <f t="shared" si="5"/>
        <v>21.5</v>
      </c>
      <c r="L38" s="60">
        <f t="shared" si="5"/>
        <v>21.6</v>
      </c>
      <c r="M38" s="60">
        <f t="shared" si="5"/>
        <v>21.8</v>
      </c>
      <c r="N38" s="60">
        <f t="shared" si="5"/>
        <v>21.9</v>
      </c>
      <c r="O38" s="60">
        <f t="shared" si="5"/>
        <v>22.1</v>
      </c>
      <c r="Q38" s="2" t="s">
        <v>59</v>
      </c>
      <c r="T38" s="96"/>
      <c r="U38" s="2"/>
      <c r="AA38" s="2" t="s">
        <v>96</v>
      </c>
      <c r="AG38" s="173">
        <f>HLOOKUP($C$5,$E$9:$O$40,30)+$AA$32</f>
        <v>20.7</v>
      </c>
      <c r="AI38" s="96"/>
      <c r="AJ38" s="93"/>
      <c r="AK38" s="92"/>
      <c r="AL38" s="91"/>
      <c r="AM38" s="91"/>
      <c r="AN38" s="91"/>
      <c r="AO38" s="91"/>
      <c r="AS38" s="104"/>
    </row>
    <row r="39" spans="1:45" x14ac:dyDescent="0.2">
      <c r="B39" s="65">
        <v>19</v>
      </c>
      <c r="C39" s="63">
        <f t="shared" si="1"/>
        <v>19.5</v>
      </c>
      <c r="D39" s="64"/>
      <c r="E39" s="63">
        <f t="shared" si="5"/>
        <v>19.899999999999999</v>
      </c>
      <c r="F39" s="60">
        <f t="shared" si="5"/>
        <v>19.899999999999999</v>
      </c>
      <c r="G39" s="167">
        <f t="shared" si="5"/>
        <v>20</v>
      </c>
      <c r="H39" s="62">
        <f t="shared" si="5"/>
        <v>20</v>
      </c>
      <c r="I39" s="166">
        <f t="shared" si="5"/>
        <v>20.100000000000001</v>
      </c>
      <c r="J39" s="62">
        <f t="shared" si="5"/>
        <v>20.100000000000001</v>
      </c>
      <c r="K39" s="61">
        <f t="shared" si="5"/>
        <v>20.2</v>
      </c>
      <c r="L39" s="60">
        <f t="shared" si="5"/>
        <v>20.2</v>
      </c>
      <c r="M39" s="60">
        <f t="shared" si="5"/>
        <v>20.3</v>
      </c>
      <c r="N39" s="60">
        <f t="shared" si="5"/>
        <v>20.3</v>
      </c>
      <c r="O39" s="60">
        <f t="shared" si="5"/>
        <v>20.399999999999999</v>
      </c>
      <c r="Q39" s="2" t="s">
        <v>60</v>
      </c>
      <c r="T39" s="96"/>
      <c r="U39" s="2"/>
      <c r="AA39" s="2" t="s">
        <v>98</v>
      </c>
      <c r="AG39" s="173">
        <f>HLOOKUP($C$5,$E$9:$O$40,31)+$AA$32</f>
        <v>19.899999999999999</v>
      </c>
      <c r="AI39" s="96"/>
      <c r="AJ39" s="93"/>
      <c r="AK39" s="92"/>
      <c r="AL39" s="91"/>
      <c r="AM39" s="91"/>
      <c r="AN39" s="91"/>
      <c r="AO39" s="91"/>
      <c r="AS39" s="104"/>
    </row>
    <row r="40" spans="1:45" x14ac:dyDescent="0.2">
      <c r="B40" s="59">
        <v>20</v>
      </c>
      <c r="C40" s="57">
        <f t="shared" si="1"/>
        <v>19.5</v>
      </c>
      <c r="D40" s="58"/>
      <c r="E40" s="57">
        <f t="shared" si="5"/>
        <v>19.2</v>
      </c>
      <c r="F40" s="54">
        <f t="shared" si="5"/>
        <v>19.100000000000001</v>
      </c>
      <c r="G40" s="168">
        <f t="shared" si="5"/>
        <v>19.100000000000001</v>
      </c>
      <c r="H40" s="56">
        <f t="shared" si="5"/>
        <v>19</v>
      </c>
      <c r="I40" s="169">
        <f t="shared" si="5"/>
        <v>19</v>
      </c>
      <c r="J40" s="56">
        <f t="shared" si="5"/>
        <v>18.899999999999999</v>
      </c>
      <c r="K40" s="55">
        <f t="shared" si="5"/>
        <v>18.899999999999999</v>
      </c>
      <c r="L40" s="54">
        <f t="shared" si="5"/>
        <v>18.8</v>
      </c>
      <c r="M40" s="54">
        <f t="shared" si="5"/>
        <v>18.8</v>
      </c>
      <c r="N40" s="54">
        <f t="shared" si="5"/>
        <v>18.7</v>
      </c>
      <c r="O40" s="54">
        <f t="shared" si="5"/>
        <v>18.7</v>
      </c>
      <c r="Q40" s="2"/>
      <c r="R40" s="2"/>
      <c r="T40" s="96"/>
      <c r="U40" s="2"/>
      <c r="AA40" s="2" t="s">
        <v>97</v>
      </c>
      <c r="AG40" s="174">
        <f>HLOOKUP($C$5,$E$9:$O$40,32)+$AA$32</f>
        <v>19.100000000000001</v>
      </c>
      <c r="AI40" s="96"/>
      <c r="AJ40" s="93"/>
      <c r="AK40" s="92"/>
      <c r="AL40" s="91"/>
      <c r="AM40" s="91"/>
      <c r="AN40" s="91"/>
      <c r="AO40" s="91"/>
      <c r="AS40" s="104"/>
    </row>
    <row r="41" spans="1:45" ht="6" customHeight="1" x14ac:dyDescent="0.2">
      <c r="T41" s="96"/>
      <c r="AI41" s="96"/>
      <c r="AJ41" s="93"/>
      <c r="AK41" s="92"/>
      <c r="AL41" s="91"/>
      <c r="AM41" s="91"/>
      <c r="AN41" s="91"/>
      <c r="AO41" s="91"/>
      <c r="AS41" s="104"/>
    </row>
    <row r="42" spans="1:45" x14ac:dyDescent="0.2">
      <c r="E42" s="193"/>
      <c r="F42" s="194"/>
      <c r="G42" s="195"/>
      <c r="H42" s="195"/>
      <c r="I42" s="195"/>
      <c r="J42" s="196"/>
      <c r="K42" s="196"/>
      <c r="L42" s="197"/>
      <c r="M42" s="198" t="s">
        <v>88</v>
      </c>
      <c r="N42" s="202" t="s">
        <v>114</v>
      </c>
      <c r="O42" s="199"/>
      <c r="Q42" s="209"/>
      <c r="R42" s="106">
        <v>55</v>
      </c>
      <c r="S42" s="105" t="s">
        <v>45</v>
      </c>
      <c r="T42" s="96"/>
      <c r="AI42" s="96"/>
      <c r="AJ42" s="93"/>
      <c r="AK42" s="92"/>
      <c r="AL42" s="91"/>
      <c r="AM42" s="91"/>
      <c r="AN42" s="91"/>
      <c r="AO42" s="91"/>
      <c r="AS42" s="104"/>
    </row>
    <row r="43" spans="1:45" x14ac:dyDescent="0.2">
      <c r="T43" s="96"/>
      <c r="AI43" s="96"/>
      <c r="AJ43" s="93"/>
      <c r="AK43" s="92"/>
      <c r="AL43" s="91"/>
      <c r="AM43" s="91"/>
      <c r="AN43" s="91"/>
      <c r="AO43" s="91"/>
      <c r="AS43" s="104"/>
    </row>
    <row r="44" spans="1:45" x14ac:dyDescent="0.2">
      <c r="A44" s="98"/>
      <c r="B44" s="97"/>
      <c r="C44" s="97"/>
      <c r="D44" s="97"/>
      <c r="E44" s="97"/>
      <c r="F44" s="97"/>
      <c r="G44" s="97"/>
      <c r="H44" s="97"/>
      <c r="I44" s="200"/>
      <c r="J44" s="201"/>
      <c r="K44" s="201"/>
      <c r="L44" s="201"/>
      <c r="M44" s="201"/>
      <c r="N44" s="201"/>
      <c r="O44" s="97"/>
      <c r="P44" s="97"/>
      <c r="Q44" s="97"/>
      <c r="R44" s="97"/>
      <c r="S44" s="97"/>
      <c r="T44" s="98"/>
      <c r="U44" s="97"/>
      <c r="V44" s="97"/>
      <c r="W44" s="97"/>
      <c r="X44" s="97"/>
      <c r="Y44" s="97"/>
      <c r="Z44" s="97"/>
      <c r="AA44" s="97"/>
      <c r="AB44" s="97"/>
      <c r="AC44" s="97"/>
      <c r="AD44" s="97"/>
      <c r="AE44" s="97"/>
      <c r="AF44" s="97"/>
      <c r="AG44" s="97"/>
      <c r="AH44" s="97"/>
      <c r="AI44" s="98"/>
      <c r="AJ44" s="99"/>
      <c r="AK44" s="100"/>
      <c r="AL44" s="101"/>
      <c r="AM44" s="101"/>
      <c r="AN44" s="101"/>
      <c r="AO44" s="101"/>
      <c r="AP44" s="97"/>
      <c r="AQ44" s="97"/>
      <c r="AR44" s="97"/>
      <c r="AS44" s="102"/>
    </row>
    <row r="46" spans="1:45" ht="15" x14ac:dyDescent="0.25">
      <c r="G46" s="150"/>
      <c r="O46" s="157"/>
      <c r="P46" s="66"/>
      <c r="Q46" s="66"/>
      <c r="R46" s="66"/>
      <c r="S46" s="66"/>
    </row>
    <row r="47" spans="1:45" x14ac:dyDescent="0.2">
      <c r="G47" s="150"/>
      <c r="O47" s="66"/>
      <c r="P47" s="66"/>
      <c r="Q47" s="66"/>
      <c r="R47" s="153"/>
      <c r="S47" s="66"/>
    </row>
    <row r="48" spans="1:45" x14ac:dyDescent="0.2">
      <c r="G48" s="150"/>
      <c r="O48" s="66"/>
      <c r="P48" s="66"/>
      <c r="Q48" s="66"/>
      <c r="R48" s="66"/>
      <c r="S48" s="154"/>
    </row>
    <row r="49" spans="7:18" x14ac:dyDescent="0.2">
      <c r="G49" s="150"/>
    </row>
    <row r="50" spans="7:18" x14ac:dyDescent="0.2">
      <c r="G50" s="150"/>
      <c r="O50" s="66"/>
    </row>
    <row r="51" spans="7:18" x14ac:dyDescent="0.2">
      <c r="G51" s="150"/>
      <c r="O51" s="66"/>
    </row>
    <row r="52" spans="7:18" x14ac:dyDescent="0.2">
      <c r="G52" s="150"/>
      <c r="O52" s="155"/>
    </row>
    <row r="53" spans="7:18" x14ac:dyDescent="0.2">
      <c r="G53" s="150"/>
      <c r="O53" s="155"/>
    </row>
    <row r="54" spans="7:18" ht="15" x14ac:dyDescent="0.2">
      <c r="G54" s="156"/>
      <c r="I54" s="156"/>
      <c r="O54" s="155"/>
    </row>
    <row r="56" spans="7:18" x14ac:dyDescent="0.2">
      <c r="G56" s="150"/>
      <c r="O56" s="155"/>
    </row>
    <row r="57" spans="7:18" x14ac:dyDescent="0.2">
      <c r="G57" s="150"/>
      <c r="O57" s="155"/>
    </row>
    <row r="58" spans="7:18" x14ac:dyDescent="0.2">
      <c r="G58" s="150"/>
      <c r="O58" s="155"/>
    </row>
    <row r="59" spans="7:18" x14ac:dyDescent="0.2">
      <c r="G59" s="150"/>
      <c r="O59" s="155"/>
    </row>
    <row r="60" spans="7:18" x14ac:dyDescent="0.2">
      <c r="G60" s="150"/>
      <c r="O60" s="66"/>
      <c r="R60" s="66"/>
    </row>
    <row r="61" spans="7:18" x14ac:dyDescent="0.2">
      <c r="G61" s="150"/>
      <c r="O61" s="66"/>
      <c r="R61" s="66"/>
    </row>
    <row r="62" spans="7:18" x14ac:dyDescent="0.2">
      <c r="G62" s="150"/>
      <c r="O62" s="66"/>
      <c r="P62" s="66"/>
      <c r="Q62" s="66"/>
      <c r="R62" s="66"/>
    </row>
    <row r="63" spans="7:18" x14ac:dyDescent="0.2">
      <c r="G63" s="150"/>
      <c r="O63" s="66"/>
      <c r="P63" s="66"/>
      <c r="Q63" s="66"/>
      <c r="R63" s="66"/>
    </row>
    <row r="64" spans="7:18" x14ac:dyDescent="0.2">
      <c r="G64" s="150"/>
      <c r="O64" s="66"/>
      <c r="P64" s="66"/>
      <c r="Q64" s="66"/>
      <c r="R64" s="66"/>
    </row>
    <row r="65" spans="7:7" x14ac:dyDescent="0.2">
      <c r="G65" s="150"/>
    </row>
    <row r="66" spans="7:7" x14ac:dyDescent="0.2">
      <c r="G66" s="150"/>
    </row>
    <row r="67" spans="7:7" x14ac:dyDescent="0.2">
      <c r="G67" s="150"/>
    </row>
    <row r="68" spans="7:7" x14ac:dyDescent="0.2">
      <c r="G68" s="150"/>
    </row>
    <row r="69" spans="7:7" x14ac:dyDescent="0.2">
      <c r="G69" s="150"/>
    </row>
    <row r="70" spans="7:7" x14ac:dyDescent="0.2">
      <c r="G70" s="150"/>
    </row>
    <row r="71" spans="7:7" x14ac:dyDescent="0.2">
      <c r="G71" s="150"/>
    </row>
    <row r="72" spans="7:7" x14ac:dyDescent="0.2">
      <c r="G72" s="150"/>
    </row>
    <row r="73" spans="7:7" x14ac:dyDescent="0.2">
      <c r="G73" s="150"/>
    </row>
    <row r="74" spans="7:7" x14ac:dyDescent="0.2">
      <c r="G74" s="150"/>
    </row>
    <row r="75" spans="7:7" x14ac:dyDescent="0.2">
      <c r="G75" s="150"/>
    </row>
    <row r="76" spans="7:7" x14ac:dyDescent="0.2">
      <c r="G76" s="150"/>
    </row>
    <row r="77" spans="7:7" x14ac:dyDescent="0.2">
      <c r="G77" s="150"/>
    </row>
  </sheetData>
  <sheetProtection selectLockedCells="1"/>
  <mergeCells count="1">
    <mergeCell ref="B2:O2"/>
  </mergeCells>
  <conditionalFormatting sqref="B10:O40">
    <cfRule type="expression" dxfId="22" priority="4">
      <formula>$B10=$O$7</formula>
    </cfRule>
  </conditionalFormatting>
  <conditionalFormatting sqref="C7">
    <cfRule type="expression" dxfId="21" priority="10">
      <formula>$C$7=15</formula>
    </cfRule>
  </conditionalFormatting>
  <conditionalFormatting sqref="E9:J9 M9:O9">
    <cfRule type="expression" dxfId="20" priority="29">
      <formula>E$9:O$9=$C$5</formula>
    </cfRule>
  </conditionalFormatting>
  <conditionalFormatting sqref="E10:J40 M10:O40">
    <cfRule type="cellIs" dxfId="19" priority="1" operator="between">
      <formula>54.4</formula>
      <formula>55.7</formula>
    </cfRule>
    <cfRule type="cellIs" dxfId="18" priority="2" operator="between">
      <formula>$R$6-0.6</formula>
      <formula>$R$6+0.6</formula>
    </cfRule>
    <cfRule type="cellIs" dxfId="17" priority="3" operator="between">
      <formula>$R$7-0.4</formula>
      <formula>$R$7+0.6</formula>
    </cfRule>
    <cfRule type="expression" dxfId="16" priority="5">
      <formula>E$9:O$9=$C$5</formula>
    </cfRule>
  </conditionalFormatting>
  <conditionalFormatting sqref="K9:L9">
    <cfRule type="expression" dxfId="15" priority="37">
      <formula>K$9:T$9=$C$5</formula>
    </cfRule>
  </conditionalFormatting>
  <conditionalFormatting sqref="K10:L40">
    <cfRule type="cellIs" dxfId="14" priority="6" operator="between">
      <formula>54.4</formula>
      <formula>55.7</formula>
    </cfRule>
    <cfRule type="cellIs" dxfId="13" priority="7" operator="between">
      <formula>$R$6-0.6</formula>
      <formula>$R$6+0.6</formula>
    </cfRule>
    <cfRule type="cellIs" dxfId="12" priority="8" operator="between">
      <formula>$R$7-0.4</formula>
      <formula>$R$7+0.6</formula>
    </cfRule>
    <cfRule type="expression" dxfId="11" priority="9">
      <formula>K$9:T$9=$C$5</formula>
    </cfRule>
  </conditionalFormatting>
  <conditionalFormatting sqref="AG10:AG40">
    <cfRule type="expression" dxfId="10" priority="28">
      <formula>$B10=$O$7</formula>
    </cfRule>
  </conditionalFormatting>
  <dataValidations count="14">
    <dataValidation type="list" allowBlank="1" showInputMessage="1" showErrorMessage="1" errorTitle="Ongeldige waarde ingevoerd!" error="Geldige waarden zijn -10 t/m +20 graden." sqref="O7" xr:uid="{A16446F8-D497-427C-8D87-412F8244B3DA}">
      <formula1>Tbuiten</formula1>
    </dataValidation>
    <dataValidation type="list" allowBlank="1" showInputMessage="1" showErrorMessage="1" errorTitle="Ongeldige waarde ingevoerd!" error="Geldige waarden voor de stooklijngradiënt zijn 0.7 t/m 1.7 (voor de standaard stooklijnen) of 0.0 t/m 1.1 (voor een serie lagere stooklijnen; stel daarvoor cel E9 in op 0.0)." sqref="C5" xr:uid="{6202CCC3-18EC-4D32-ACDD-EEBF25F40356}">
      <formula1>Stooklijn</formula1>
    </dataValidation>
    <dataValidation type="list" allowBlank="1" showInputMessage="1" showErrorMessage="1" errorTitle="Ongeldige waarde ingevoerd!" error="Geldige waarden zijn +16 t/m +30 graden." sqref="C7" xr:uid="{E1DC77EE-C5E5-4E70-A810-CC0C28AF8E85}">
      <mc:AlternateContent xmlns:x12ac="http://schemas.microsoft.com/office/spreadsheetml/2011/1/ac" xmlns:mc="http://schemas.openxmlformats.org/markup-compatibility/2006">
        <mc:Choice Requires="x12ac">
          <x12ac:list>15,16,17,18,19,"19,5",20,"20,5",21,"21,5",22,23,24,25,26,27,28,29,30</x12ac:list>
        </mc:Choice>
        <mc:Fallback>
          <formula1>"15,16,17,18,19,19,5,20,20,5,21,21,5,22,23,24,25,26,27,28,29,30"</formula1>
        </mc:Fallback>
      </mc:AlternateContent>
    </dataValidation>
    <dataValidation type="list" allowBlank="1" showInputMessage="1" showErrorMessage="1" errorTitle="Ongeldige waarde ingevoerd!" error="Geldige waarden zijn +25 t/m +70, steeds met een interval van 5 graden." sqref="L7" xr:uid="{3A78B537-B271-4B20-BA02-DEA3233DB6C2}">
      <formula1>"25,30,35,40,45,50,55,60,65,70"</formula1>
    </dataValidation>
    <dataValidation type="list" allowBlank="1" showInputMessage="1" showErrorMessage="1" errorTitle="Ongeldige waarde ingevoerd!" error="Geldige waarden zijn 1 t/m 10." sqref="AE32" xr:uid="{50044C0C-1F77-4546-8F69-F2C6A338B8F5}">
      <formula1>"0,1,2,3,4,5,6,7,8,9,10"</formula1>
    </dataValidation>
    <dataValidation type="list" allowBlank="1" showInputMessage="1" showErrorMessage="1" errorTitle="Ongeldige waarde ingevoerd!" error="Geldlge waarden zijn 30 t/m 70, steeds met een interval van 5 graden." sqref="R7" xr:uid="{1C95B6FA-C779-4206-9CE1-65FDF085478A}">
      <formula1>"30,35,40,45,50,55,60,65,70"</formula1>
    </dataValidation>
    <dataValidation type="decimal" allowBlank="1" showInputMessage="1" showErrorMessage="1" errorTitle="Ongeldige waarde ingevoerd!" error="Geldige waarden zijn decimale getallen tussen 15 en 25." sqref="AB32" xr:uid="{29854AAC-40AD-44E8-B6BC-BA3E143EFE2C}">
      <formula1>15</formula1>
      <formula2>25</formula2>
    </dataValidation>
    <dataValidation type="list" allowBlank="1" showInputMessage="1" showErrorMessage="1" errorTitle="Ongeldige waarde ingevoerd!" error="Geldige waarden zijn -5 t/m +15 graden." sqref="I5" xr:uid="{933D1379-07E9-4D88-93BE-E12A261F9B63}">
      <formula1>"-5,-4,-3,-2,-1,0,1,2,3,4,5,6,7,8,9,10,11,12,13,14,15"</formula1>
    </dataValidation>
    <dataValidation type="list" allowBlank="1" showInputMessage="1" showErrorMessage="1" errorTitle="Ongeldige waarde ingevoerd!" error="Geldige waarden zijn -15 t/m 0 graden." sqref="I7" xr:uid="{8B21AA98-8342-40BE-86C7-F859B91CCF6B}">
      <formula1>"-15,-14,-13,-12,-11,-10,-9,-8,-7,-6,-5,-4,-3,-2,-1,0"</formula1>
    </dataValidation>
    <dataValidation type="list" allowBlank="1" showInputMessage="1" showErrorMessage="1" errorTitle="Ongeldige waarde ingevoerd!" error="Geldlge waarden zijn 30 t/m 75, steeds met een interval van 5 graden." sqref="R6" xr:uid="{0CAFE917-88B1-4A85-9D90-3F719D7C4176}">
      <formula1>"30,35,40,45,50,55,60,65,70,75"</formula1>
    </dataValidation>
    <dataValidation type="list" allowBlank="1" showInputMessage="1" showErrorMessage="1" errorTitle="Ongeldige waarde ingevoerd!" error="Geldige waarden zijn +30 t/m +70, steeds met een interval van 5 graden." sqref="L5" xr:uid="{2D66A9A9-A203-4A1F-BE9E-BABD243E3ACE}">
      <formula1>"30,35,40,45,50,55,60,65,70"</formula1>
    </dataValidation>
    <dataValidation type="list" allowBlank="1" showInputMessage="1" showErrorMessage="1" errorTitle="Ongedlige waarde ingevoerd!" error="Geldige waarden zijn 0.1 en 0.7, voor respectievelijke een serie lagere of hogere stooklijnen." sqref="E9" xr:uid="{7FE67B97-95FD-43B9-9662-0546E3B08B2D}">
      <formula1>"0.0,0.7"</formula1>
    </dataValidation>
    <dataValidation type="list" allowBlank="1" showInputMessage="1" showErrorMessage="1" errorTitle="Ongeldige waarde ingevoerd!" error="Geldige waarden zijn +15.0 t/m +22.0 graden, steeds per halve graad." sqref="O5" xr:uid="{918AB44F-AD5D-4981-BD9E-495AD73F1103}">
      <mc:AlternateContent xmlns:x12ac="http://schemas.microsoft.com/office/spreadsheetml/2011/1/ac" xmlns:mc="http://schemas.openxmlformats.org/markup-compatibility/2006">
        <mc:Choice Requires="x12ac">
          <x12ac:list>15,"15,5",16,"16,5",17,"17,5",18,"18,5",19,"19,5",20,"20,5",21,"21,5",22</x12ac:list>
        </mc:Choice>
        <mc:Fallback>
          <formula1>"15,15,5,16,16,5,17,17,5,18,18,5,19,19,5,20,20,5,21,21,5,22"</formula1>
        </mc:Fallback>
      </mc:AlternateContent>
    </dataValidation>
    <dataValidation type="list" allowBlank="1" showInputMessage="1" showErrorMessage="1" errorTitle="Ongeldige waarde ingevoerd!" error="Geldige waarden zijn +15 t/m +22 graden (per halve graad)." sqref="AC32" xr:uid="{99AD3512-E119-489D-BB0C-4D05CABFF1DE}">
      <mc:AlternateContent xmlns:x12ac="http://schemas.microsoft.com/office/spreadsheetml/2011/1/ac" xmlns:mc="http://schemas.openxmlformats.org/markup-compatibility/2006">
        <mc:Choice Requires="x12ac">
          <x12ac:list>15,"15,5",16,"16,5",17,"17,5",18,"18,5",19,"19,5",20,"20,5",21,"21,5",22</x12ac:list>
        </mc:Choice>
        <mc:Fallback>
          <formula1>"15,15,5,16,16,5,17,17,5,18,18,5,19,19,5,20,20,5,21,21,5,22"</formula1>
        </mc:Fallback>
      </mc:AlternateContent>
    </dataValidation>
  </dataValidations>
  <hyperlinks>
    <hyperlink ref="W15" r:id="rId1" xr:uid="{B1D50025-0272-4D85-AC0B-B6619598A6D6}"/>
    <hyperlink ref="W16" r:id="rId2" display="Blog Martin Kleinman" xr:uid="{5805062F-C811-494C-B370-AF0CF16DECC7}"/>
    <hyperlink ref="AD30" r:id="rId3" display="Handeiding besturingsplatform" xr:uid="{FBD578D5-36AA-4F54-BFA7-6896CBC18C03}"/>
    <hyperlink ref="X30" r:id="rId4" location="%5B%7B%22num%22%3A741%2C%22gen%22%3A0%7D%2C%7B%22name%22%3A%22XYZ%22%7D%2Cnull%2C142.62048%2Cnull%5D" xr:uid="{EDB9069D-FEF0-4752-B801-A64D33397D2A}"/>
  </hyperlinks>
  <pageMargins left="0.7" right="0.7" top="0.75" bottom="0.75" header="0.3" footer="0.3"/>
  <pageSetup paperSize="9" scale="81" fitToHeight="0" orientation="portrait" r:id="rId5"/>
  <ignoredErrors>
    <ignoredError sqref="G11:O11" formula="1"/>
  </ignoredErrors>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E5F9B-7D7E-4D09-9753-3A9B61A0DD65}">
  <dimension ref="A1:AA49"/>
  <sheetViews>
    <sheetView showGridLines="0" topLeftCell="A12" zoomScale="90" zoomScaleNormal="90" workbookViewId="0">
      <selection activeCell="D15" sqref="D15"/>
    </sheetView>
  </sheetViews>
  <sheetFormatPr defaultRowHeight="14.25" x14ac:dyDescent="0.2"/>
  <cols>
    <col min="1" max="1" width="3.625" customWidth="1"/>
    <col min="2" max="2" width="27" customWidth="1"/>
    <col min="3" max="3" width="10.5" customWidth="1"/>
    <col min="4" max="4" width="10.625" customWidth="1"/>
    <col min="5" max="5" width="10.75" customWidth="1"/>
    <col min="6" max="6" width="3.625" customWidth="1"/>
    <col min="7" max="7" width="8.75" customWidth="1"/>
    <col min="8" max="8" width="7.75" customWidth="1"/>
    <col min="9" max="9" width="9" customWidth="1"/>
    <col min="14" max="14" width="9.375" customWidth="1"/>
    <col min="15" max="15" width="3.625" customWidth="1"/>
    <col min="16" max="16" width="11.375" customWidth="1"/>
    <col min="17" max="22" width="9" customWidth="1"/>
    <col min="27" max="27" width="15.5" customWidth="1"/>
    <col min="28" max="28" width="3.625" customWidth="1"/>
  </cols>
  <sheetData>
    <row r="1" spans="2:27" ht="7.5" customHeight="1" x14ac:dyDescent="0.2">
      <c r="AA1" s="104"/>
    </row>
    <row r="2" spans="2:27" ht="23.25" x14ac:dyDescent="0.35">
      <c r="B2" s="7" t="s">
        <v>10</v>
      </c>
      <c r="C2" s="7"/>
      <c r="D2" s="7"/>
      <c r="E2" s="7"/>
      <c r="F2" s="1"/>
      <c r="G2" s="82" t="s">
        <v>27</v>
      </c>
      <c r="H2" s="7" t="s">
        <v>9</v>
      </c>
      <c r="I2" s="7"/>
      <c r="J2" s="9"/>
      <c r="K2" s="9"/>
      <c r="L2" s="9"/>
      <c r="M2" s="9"/>
      <c r="N2" s="9"/>
      <c r="O2" s="3"/>
      <c r="AA2" s="104"/>
    </row>
    <row r="3" spans="2:27" ht="15" thickBot="1" x14ac:dyDescent="0.25">
      <c r="AA3" s="104"/>
    </row>
    <row r="4" spans="2:27" ht="17.25" thickBot="1" x14ac:dyDescent="0.3">
      <c r="B4" s="5" t="s">
        <v>48</v>
      </c>
      <c r="C4" s="5" t="s">
        <v>0</v>
      </c>
      <c r="D4" s="134" t="s">
        <v>28</v>
      </c>
      <c r="E4" s="135" t="s">
        <v>11</v>
      </c>
      <c r="G4" s="138" t="s">
        <v>7</v>
      </c>
      <c r="H4" s="140" t="s">
        <v>61</v>
      </c>
      <c r="I4" s="141" t="s">
        <v>64</v>
      </c>
      <c r="J4" s="142" t="s">
        <v>65</v>
      </c>
      <c r="K4" s="143" t="s">
        <v>62</v>
      </c>
      <c r="L4" s="144" t="s">
        <v>63</v>
      </c>
      <c r="M4" s="145" t="s">
        <v>66</v>
      </c>
      <c r="N4" s="139" t="s">
        <v>12</v>
      </c>
      <c r="AA4" s="104"/>
    </row>
    <row r="5" spans="2:27" ht="15.75" thickBot="1" x14ac:dyDescent="0.3">
      <c r="B5" s="10" t="s">
        <v>2</v>
      </c>
      <c r="C5" s="120" t="s">
        <v>1</v>
      </c>
      <c r="D5" s="136">
        <v>0</v>
      </c>
      <c r="E5" s="137">
        <v>0</v>
      </c>
      <c r="G5" s="14">
        <v>0</v>
      </c>
      <c r="H5" s="15"/>
      <c r="I5" s="16"/>
      <c r="J5" s="17"/>
      <c r="K5" s="17"/>
      <c r="L5" s="17"/>
      <c r="M5" s="30"/>
      <c r="N5" s="47">
        <f>$E$37</f>
        <v>-17.608695652173914</v>
      </c>
      <c r="AA5" s="104"/>
    </row>
    <row r="6" spans="2:27" x14ac:dyDescent="0.2">
      <c r="B6" s="11" t="s">
        <v>15</v>
      </c>
      <c r="C6" s="112" t="s">
        <v>3</v>
      </c>
      <c r="D6" s="127">
        <v>8</v>
      </c>
      <c r="E6" s="128">
        <f>IF($E$5=1,$E$15,$D$15)</f>
        <v>14</v>
      </c>
      <c r="F6" s="13"/>
      <c r="G6" s="18">
        <v>2</v>
      </c>
      <c r="H6" s="19"/>
      <c r="I6" s="20"/>
      <c r="J6" s="20"/>
      <c r="K6" s="20"/>
      <c r="L6" s="20"/>
      <c r="M6" s="31"/>
      <c r="N6" s="45">
        <f t="shared" ref="N6:N35" si="0">N5+$E$34</f>
        <v>-16.521739130434785</v>
      </c>
      <c r="AA6" s="104"/>
    </row>
    <row r="7" spans="2:27" ht="15" x14ac:dyDescent="0.2">
      <c r="B7" s="11" t="s">
        <v>16</v>
      </c>
      <c r="C7" s="112" t="s">
        <v>4</v>
      </c>
      <c r="D7" s="127">
        <v>30</v>
      </c>
      <c r="E7" s="129">
        <f>IF($E$5=1,$E$16,$D$16)</f>
        <v>60</v>
      </c>
      <c r="F7" s="13"/>
      <c r="G7" s="18">
        <v>4</v>
      </c>
      <c r="H7" s="19"/>
      <c r="I7" s="20"/>
      <c r="J7" s="22">
        <v>-10</v>
      </c>
      <c r="K7" s="22">
        <v>-10</v>
      </c>
      <c r="L7" s="20"/>
      <c r="M7" s="32">
        <v>-10</v>
      </c>
      <c r="N7" s="45">
        <f t="shared" si="0"/>
        <v>-15.434782608695654</v>
      </c>
      <c r="AA7" s="104"/>
    </row>
    <row r="8" spans="2:27" x14ac:dyDescent="0.2">
      <c r="B8" s="11" t="s">
        <v>67</v>
      </c>
      <c r="C8" s="112" t="s">
        <v>5</v>
      </c>
      <c r="D8" s="130">
        <v>-10</v>
      </c>
      <c r="E8" s="131">
        <f>IF($E$5=1,-10,$D$17)</f>
        <v>-10</v>
      </c>
      <c r="F8" s="13"/>
      <c r="G8" s="18">
        <v>6</v>
      </c>
      <c r="H8" s="19"/>
      <c r="I8" s="20"/>
      <c r="J8" s="20">
        <f>J7+$J$37</f>
        <v>-9.1071428571428577</v>
      </c>
      <c r="K8" s="20">
        <f>K7+$K$37</f>
        <v>-7.7272727272727266</v>
      </c>
      <c r="L8" s="20"/>
      <c r="M8" s="33">
        <f>M7+$M$37</f>
        <v>-9.4642857142857135</v>
      </c>
      <c r="N8" s="45">
        <f t="shared" si="0"/>
        <v>-14.347826086956523</v>
      </c>
      <c r="AA8" s="104"/>
    </row>
    <row r="9" spans="2:27" ht="15" x14ac:dyDescent="0.2">
      <c r="B9" s="12" t="s">
        <v>68</v>
      </c>
      <c r="C9" s="113" t="s">
        <v>6</v>
      </c>
      <c r="D9" s="132">
        <v>15</v>
      </c>
      <c r="E9" s="133">
        <f>IF($E$5=1,15,$D$18)</f>
        <v>15</v>
      </c>
      <c r="G9" s="18">
        <v>8</v>
      </c>
      <c r="H9" s="22">
        <v>-10</v>
      </c>
      <c r="I9" s="22">
        <v>-10</v>
      </c>
      <c r="J9" s="20">
        <f t="shared" ref="J9:J34" si="1">J8+$J$37</f>
        <v>-8.2142857142857153</v>
      </c>
      <c r="K9" s="20">
        <f t="shared" ref="K9:K17" si="2">K8+$K$37</f>
        <v>-5.4545454545454533</v>
      </c>
      <c r="L9" s="22">
        <v>-10</v>
      </c>
      <c r="M9" s="33">
        <f t="shared" ref="M9:M34" si="3">M8+$M$37</f>
        <v>-8.928571428571427</v>
      </c>
      <c r="N9" s="45">
        <f t="shared" si="0"/>
        <v>-13.260869565217392</v>
      </c>
      <c r="AA9" s="104"/>
    </row>
    <row r="10" spans="2:27" x14ac:dyDescent="0.2">
      <c r="B10" s="2" t="s">
        <v>89</v>
      </c>
      <c r="G10" s="18">
        <v>10</v>
      </c>
      <c r="H10" s="20">
        <f t="shared" ref="H10:H19" si="4">H9+$H$37</f>
        <v>-7.7272727272727266</v>
      </c>
      <c r="I10" s="20">
        <f t="shared" ref="I10:I26" si="5">I9+$I$37</f>
        <v>-8.6111111111111107</v>
      </c>
      <c r="J10" s="20">
        <f t="shared" si="1"/>
        <v>-7.3214285714285721</v>
      </c>
      <c r="K10" s="20">
        <f t="shared" si="2"/>
        <v>-3.1818181818181803</v>
      </c>
      <c r="L10" s="20">
        <f>L9+$L$37</f>
        <v>-9.0384615384615383</v>
      </c>
      <c r="M10" s="33">
        <f t="shared" si="3"/>
        <v>-8.3928571428571406</v>
      </c>
      <c r="N10" s="45">
        <f t="shared" si="0"/>
        <v>-12.173913043478262</v>
      </c>
      <c r="AA10" s="104"/>
    </row>
    <row r="11" spans="2:27" x14ac:dyDescent="0.2">
      <c r="G11" s="18">
        <v>12</v>
      </c>
      <c r="H11" s="20">
        <f t="shared" si="4"/>
        <v>-5.4545454545454533</v>
      </c>
      <c r="I11" s="20">
        <f t="shared" si="5"/>
        <v>-7.2222222222222214</v>
      </c>
      <c r="J11" s="20">
        <f t="shared" si="1"/>
        <v>-6.4285714285714288</v>
      </c>
      <c r="K11" s="23">
        <f t="shared" si="2"/>
        <v>-0.9090909090909074</v>
      </c>
      <c r="L11" s="20">
        <f t="shared" ref="L11:L34" si="6">L10+$L$37</f>
        <v>-8.0769230769230766</v>
      </c>
      <c r="M11" s="33">
        <f t="shared" si="3"/>
        <v>-7.857142857142855</v>
      </c>
      <c r="N11" s="45">
        <f t="shared" si="0"/>
        <v>-11.086956521739131</v>
      </c>
      <c r="AA11" s="104"/>
    </row>
    <row r="12" spans="2:27" x14ac:dyDescent="0.2">
      <c r="G12" s="18">
        <v>14</v>
      </c>
      <c r="H12" s="20">
        <f t="shared" si="4"/>
        <v>-3.1818181818181803</v>
      </c>
      <c r="I12" s="20">
        <f t="shared" si="5"/>
        <v>-5.8333333333333321</v>
      </c>
      <c r="J12" s="20">
        <f t="shared" si="1"/>
        <v>-5.5357142857142856</v>
      </c>
      <c r="K12" s="20">
        <f t="shared" si="2"/>
        <v>1.3636363636363655</v>
      </c>
      <c r="L12" s="20">
        <f t="shared" si="6"/>
        <v>-7.115384615384615</v>
      </c>
      <c r="M12" s="33">
        <f t="shared" si="3"/>
        <v>-7.3214285714285694</v>
      </c>
      <c r="N12" s="45">
        <f t="shared" si="0"/>
        <v>-10</v>
      </c>
      <c r="AA12" s="104"/>
    </row>
    <row r="13" spans="2:27" ht="15" thickBot="1" x14ac:dyDescent="0.25">
      <c r="G13" s="18">
        <v>16</v>
      </c>
      <c r="H13" s="23">
        <f t="shared" si="4"/>
        <v>-0.9090909090909074</v>
      </c>
      <c r="I13" s="20">
        <f t="shared" si="5"/>
        <v>-4.4444444444444429</v>
      </c>
      <c r="J13" s="20">
        <f t="shared" si="1"/>
        <v>-4.6428571428571423</v>
      </c>
      <c r="K13" s="20">
        <f t="shared" si="2"/>
        <v>3.6363636363636385</v>
      </c>
      <c r="L13" s="20">
        <f t="shared" si="6"/>
        <v>-6.1538461538461533</v>
      </c>
      <c r="M13" s="33">
        <f t="shared" si="3"/>
        <v>-6.7857142857142838</v>
      </c>
      <c r="N13" s="45">
        <f t="shared" si="0"/>
        <v>-8.9130434782608692</v>
      </c>
      <c r="AA13" s="104"/>
    </row>
    <row r="14" spans="2:27" ht="15.75" thickBot="1" x14ac:dyDescent="0.3">
      <c r="B14" s="5" t="s">
        <v>48</v>
      </c>
      <c r="C14" s="117" t="s">
        <v>0</v>
      </c>
      <c r="D14" s="121" t="s">
        <v>50</v>
      </c>
      <c r="E14" s="122" t="s">
        <v>1</v>
      </c>
      <c r="G14" s="18">
        <v>18</v>
      </c>
      <c r="H14" s="20">
        <f t="shared" si="4"/>
        <v>1.3636363636363655</v>
      </c>
      <c r="I14" s="20">
        <f t="shared" si="5"/>
        <v>-3.055555555555554</v>
      </c>
      <c r="J14" s="20">
        <f t="shared" si="1"/>
        <v>-3.7499999999999996</v>
      </c>
      <c r="K14" s="20">
        <f t="shared" si="2"/>
        <v>5.9090909090909118</v>
      </c>
      <c r="L14" s="20">
        <f t="shared" si="6"/>
        <v>-5.1923076923076916</v>
      </c>
      <c r="M14" s="33">
        <f t="shared" si="3"/>
        <v>-6.2499999999999982</v>
      </c>
      <c r="N14" s="45">
        <f t="shared" si="0"/>
        <v>-7.8260869565217384</v>
      </c>
      <c r="AA14" s="104"/>
    </row>
    <row r="15" spans="2:27" ht="15.75" thickBot="1" x14ac:dyDescent="0.3">
      <c r="B15" s="11" t="s">
        <v>15</v>
      </c>
      <c r="C15" s="118" t="s">
        <v>3</v>
      </c>
      <c r="D15" s="125">
        <v>14</v>
      </c>
      <c r="E15" s="123">
        <v>30</v>
      </c>
      <c r="G15" s="18">
        <v>20</v>
      </c>
      <c r="H15" s="20">
        <f t="shared" si="4"/>
        <v>3.6363636363636385</v>
      </c>
      <c r="I15" s="20">
        <f t="shared" si="5"/>
        <v>-1.6666666666666652</v>
      </c>
      <c r="J15" s="20">
        <f t="shared" si="1"/>
        <v>-2.8571428571428568</v>
      </c>
      <c r="K15" s="20">
        <f t="shared" si="2"/>
        <v>8.1818181818181852</v>
      </c>
      <c r="L15" s="20">
        <f t="shared" si="6"/>
        <v>-4.2307692307692299</v>
      </c>
      <c r="M15" s="33">
        <f t="shared" si="3"/>
        <v>-5.7142857142857126</v>
      </c>
      <c r="N15" s="45">
        <f t="shared" si="0"/>
        <v>-6.7391304347826075</v>
      </c>
      <c r="AA15" s="104"/>
    </row>
    <row r="16" spans="2:27" ht="15" x14ac:dyDescent="0.25">
      <c r="B16" s="11" t="s">
        <v>16</v>
      </c>
      <c r="C16" s="118" t="s">
        <v>4</v>
      </c>
      <c r="D16" s="126">
        <v>60</v>
      </c>
      <c r="E16" s="124">
        <f>IF(E15&lt;60,E15+0.001,E15-0.001)</f>
        <v>30.001000000000001</v>
      </c>
      <c r="G16" s="18">
        <v>22</v>
      </c>
      <c r="H16" s="20">
        <f t="shared" si="4"/>
        <v>5.9090909090909118</v>
      </c>
      <c r="I16" s="23">
        <f t="shared" si="5"/>
        <v>-0.27777777777777635</v>
      </c>
      <c r="J16" s="20">
        <f t="shared" si="1"/>
        <v>-1.964285714285714</v>
      </c>
      <c r="K16" s="20">
        <f t="shared" si="2"/>
        <v>10.454545454545459</v>
      </c>
      <c r="L16" s="20">
        <f t="shared" si="6"/>
        <v>-3.2692307692307683</v>
      </c>
      <c r="M16" s="33">
        <f t="shared" si="3"/>
        <v>-5.178571428571427</v>
      </c>
      <c r="N16" s="45">
        <f t="shared" si="0"/>
        <v>-5.6521739130434767</v>
      </c>
      <c r="AA16" s="104"/>
    </row>
    <row r="17" spans="2:27" ht="15" x14ac:dyDescent="0.25">
      <c r="B17" s="11" t="s">
        <v>67</v>
      </c>
      <c r="C17" s="118" t="s">
        <v>5</v>
      </c>
      <c r="D17" s="126">
        <v>-10</v>
      </c>
      <c r="G17" s="18">
        <v>24</v>
      </c>
      <c r="H17" s="20">
        <f t="shared" si="4"/>
        <v>8.1818181818181852</v>
      </c>
      <c r="I17" s="20">
        <f t="shared" si="5"/>
        <v>1.1111111111111125</v>
      </c>
      <c r="J17" s="20">
        <f t="shared" si="1"/>
        <v>-1.0714285714285712</v>
      </c>
      <c r="K17" s="20">
        <f t="shared" si="2"/>
        <v>12.727272727272732</v>
      </c>
      <c r="L17" s="20">
        <f t="shared" si="6"/>
        <v>-2.3076923076923066</v>
      </c>
      <c r="M17" s="33">
        <f t="shared" si="3"/>
        <v>-4.6428571428571415</v>
      </c>
      <c r="N17" s="45">
        <f t="shared" si="0"/>
        <v>-4.5652173913043459</v>
      </c>
      <c r="AA17" s="104"/>
    </row>
    <row r="18" spans="2:27" ht="15.75" thickBot="1" x14ac:dyDescent="0.3">
      <c r="B18" s="12" t="s">
        <v>68</v>
      </c>
      <c r="C18" s="119" t="s">
        <v>6</v>
      </c>
      <c r="D18" s="146">
        <v>15</v>
      </c>
      <c r="G18" s="18">
        <v>26</v>
      </c>
      <c r="H18" s="20">
        <f t="shared" si="4"/>
        <v>10.454545454545459</v>
      </c>
      <c r="I18" s="20">
        <f t="shared" si="5"/>
        <v>2.5000000000000013</v>
      </c>
      <c r="J18" s="23">
        <f t="shared" si="1"/>
        <v>-0.17857142857142827</v>
      </c>
      <c r="K18" s="22">
        <v>15</v>
      </c>
      <c r="L18" s="20">
        <f t="shared" si="6"/>
        <v>-1.3461538461538449</v>
      </c>
      <c r="M18" s="33">
        <f t="shared" si="3"/>
        <v>-4.1071428571428559</v>
      </c>
      <c r="N18" s="45">
        <f t="shared" si="0"/>
        <v>-3.4782608695652155</v>
      </c>
      <c r="AA18" s="104"/>
    </row>
    <row r="19" spans="2:27" x14ac:dyDescent="0.2">
      <c r="G19" s="18">
        <v>28</v>
      </c>
      <c r="H19" s="20">
        <f t="shared" si="4"/>
        <v>12.727272727272732</v>
      </c>
      <c r="I19" s="20">
        <f t="shared" si="5"/>
        <v>3.8888888888888902</v>
      </c>
      <c r="J19" s="20">
        <f t="shared" si="1"/>
        <v>0.71428571428571463</v>
      </c>
      <c r="K19" s="20"/>
      <c r="L19" s="23">
        <f t="shared" si="6"/>
        <v>-0.38461538461538336</v>
      </c>
      <c r="M19" s="33">
        <f t="shared" si="3"/>
        <v>-3.5714285714285703</v>
      </c>
      <c r="N19" s="45">
        <f t="shared" si="0"/>
        <v>-2.3913043478260851</v>
      </c>
      <c r="AA19" s="104"/>
    </row>
    <row r="20" spans="2:27" ht="15" x14ac:dyDescent="0.2">
      <c r="B20" s="2" t="s">
        <v>29</v>
      </c>
      <c r="G20" s="18">
        <v>30</v>
      </c>
      <c r="H20" s="22">
        <v>15</v>
      </c>
      <c r="I20" s="20">
        <f t="shared" si="5"/>
        <v>5.2777777777777786</v>
      </c>
      <c r="J20" s="20">
        <f t="shared" si="1"/>
        <v>1.6071428571428577</v>
      </c>
      <c r="K20" s="20"/>
      <c r="L20" s="20">
        <f t="shared" si="6"/>
        <v>0.5769230769230782</v>
      </c>
      <c r="M20" s="33">
        <f t="shared" si="3"/>
        <v>-3.0357142857142847</v>
      </c>
      <c r="N20" s="45">
        <f t="shared" si="0"/>
        <v>-1.3043478260869548</v>
      </c>
      <c r="AA20" s="104"/>
    </row>
    <row r="21" spans="2:27" x14ac:dyDescent="0.2">
      <c r="B21" s="2" t="s">
        <v>30</v>
      </c>
      <c r="F21" s="8"/>
      <c r="G21" s="18">
        <v>32</v>
      </c>
      <c r="H21" s="19"/>
      <c r="I21" s="20">
        <f t="shared" si="5"/>
        <v>6.6666666666666679</v>
      </c>
      <c r="J21" s="20">
        <f t="shared" si="1"/>
        <v>2.5000000000000004</v>
      </c>
      <c r="K21" s="20"/>
      <c r="L21" s="20">
        <f t="shared" si="6"/>
        <v>1.5384615384615397</v>
      </c>
      <c r="M21" s="33">
        <f t="shared" si="3"/>
        <v>-2.4999999999999991</v>
      </c>
      <c r="N21" s="45">
        <f t="shared" si="0"/>
        <v>-0.21739130434782439</v>
      </c>
      <c r="AA21" s="104"/>
    </row>
    <row r="22" spans="2:27" x14ac:dyDescent="0.2">
      <c r="B22" s="2" t="s">
        <v>51</v>
      </c>
      <c r="F22" s="8"/>
      <c r="G22" s="18">
        <v>34</v>
      </c>
      <c r="H22" s="19"/>
      <c r="I22" s="20">
        <f t="shared" si="5"/>
        <v>8.0555555555555571</v>
      </c>
      <c r="J22" s="20">
        <f t="shared" si="1"/>
        <v>3.3928571428571432</v>
      </c>
      <c r="K22" s="20"/>
      <c r="L22" s="20">
        <f t="shared" si="6"/>
        <v>2.5000000000000013</v>
      </c>
      <c r="M22" s="33">
        <f t="shared" si="3"/>
        <v>-1.9642857142857135</v>
      </c>
      <c r="N22" s="45">
        <f t="shared" si="0"/>
        <v>0.86956521739130599</v>
      </c>
      <c r="AA22" s="104"/>
    </row>
    <row r="23" spans="2:27" x14ac:dyDescent="0.2">
      <c r="F23" s="8"/>
      <c r="G23" s="18">
        <v>36</v>
      </c>
      <c r="H23" s="19"/>
      <c r="I23" s="20">
        <f t="shared" si="5"/>
        <v>9.4444444444444464</v>
      </c>
      <c r="J23" s="20">
        <f t="shared" si="1"/>
        <v>4.2857142857142865</v>
      </c>
      <c r="K23" s="20"/>
      <c r="L23" s="20">
        <f t="shared" si="6"/>
        <v>3.461538461538463</v>
      </c>
      <c r="M23" s="33">
        <f t="shared" si="3"/>
        <v>-1.4285714285714279</v>
      </c>
      <c r="N23" s="45">
        <f t="shared" si="0"/>
        <v>1.9565217391304364</v>
      </c>
      <c r="AA23" s="104"/>
    </row>
    <row r="24" spans="2:27" x14ac:dyDescent="0.2">
      <c r="B24" s="2" t="s">
        <v>52</v>
      </c>
      <c r="G24" s="18">
        <v>38</v>
      </c>
      <c r="H24" s="20"/>
      <c r="I24" s="20">
        <f t="shared" si="5"/>
        <v>10.833333333333336</v>
      </c>
      <c r="J24" s="20">
        <f t="shared" si="1"/>
        <v>5.1785714285714297</v>
      </c>
      <c r="K24" s="21"/>
      <c r="L24" s="20">
        <f t="shared" si="6"/>
        <v>4.4230769230769242</v>
      </c>
      <c r="M24" s="33">
        <f t="shared" si="3"/>
        <v>-0.89285714285714224</v>
      </c>
      <c r="N24" s="45">
        <f t="shared" si="0"/>
        <v>3.0434782608695667</v>
      </c>
      <c r="AA24" s="104"/>
    </row>
    <row r="25" spans="2:27" x14ac:dyDescent="0.2">
      <c r="B25" s="2" t="s">
        <v>53</v>
      </c>
      <c r="G25" s="18">
        <v>40</v>
      </c>
      <c r="H25" s="20"/>
      <c r="I25" s="20">
        <f t="shared" si="5"/>
        <v>12.222222222222225</v>
      </c>
      <c r="J25" s="20">
        <f t="shared" si="1"/>
        <v>6.071428571428573</v>
      </c>
      <c r="K25" s="21"/>
      <c r="L25" s="20">
        <f t="shared" si="6"/>
        <v>5.3846153846153859</v>
      </c>
      <c r="M25" s="33">
        <f t="shared" si="3"/>
        <v>-0.35714285714285654</v>
      </c>
      <c r="N25" s="45">
        <f t="shared" si="0"/>
        <v>4.1304347826086971</v>
      </c>
      <c r="AA25" s="104"/>
    </row>
    <row r="26" spans="2:27" x14ac:dyDescent="0.2">
      <c r="B26" s="2" t="s">
        <v>54</v>
      </c>
      <c r="G26" s="18">
        <v>42</v>
      </c>
      <c r="H26" s="20"/>
      <c r="I26" s="20">
        <f t="shared" si="5"/>
        <v>13.611111111111114</v>
      </c>
      <c r="J26" s="20">
        <f t="shared" si="1"/>
        <v>6.9642857142857162</v>
      </c>
      <c r="K26" s="21"/>
      <c r="L26" s="20">
        <f t="shared" si="6"/>
        <v>6.3461538461538476</v>
      </c>
      <c r="M26" s="34">
        <f t="shared" si="3"/>
        <v>0.17857142857142916</v>
      </c>
      <c r="N26" s="45">
        <f t="shared" si="0"/>
        <v>5.2173913043478279</v>
      </c>
      <c r="AA26" s="104"/>
    </row>
    <row r="27" spans="2:27" ht="15" x14ac:dyDescent="0.2">
      <c r="B27" s="2" t="s">
        <v>55</v>
      </c>
      <c r="G27" s="18">
        <v>44</v>
      </c>
      <c r="H27" s="20"/>
      <c r="I27" s="22">
        <v>15</v>
      </c>
      <c r="J27" s="20">
        <f t="shared" si="1"/>
        <v>7.8571428571428594</v>
      </c>
      <c r="K27" s="21"/>
      <c r="L27" s="20">
        <f t="shared" si="6"/>
        <v>7.3076923076923093</v>
      </c>
      <c r="M27" s="33">
        <f t="shared" si="3"/>
        <v>0.71428571428571486</v>
      </c>
      <c r="N27" s="45">
        <f t="shared" si="0"/>
        <v>6.3043478260869588</v>
      </c>
      <c r="AA27" s="104"/>
    </row>
    <row r="28" spans="2:27" x14ac:dyDescent="0.2">
      <c r="B28" s="2" t="s">
        <v>56</v>
      </c>
      <c r="G28" s="18">
        <v>46</v>
      </c>
      <c r="H28" s="20"/>
      <c r="I28" s="20"/>
      <c r="J28" s="20">
        <f t="shared" si="1"/>
        <v>8.7500000000000018</v>
      </c>
      <c r="K28" s="21"/>
      <c r="L28" s="20">
        <f t="shared" si="6"/>
        <v>8.2692307692307701</v>
      </c>
      <c r="M28" s="33">
        <f t="shared" si="3"/>
        <v>1.2500000000000004</v>
      </c>
      <c r="N28" s="45">
        <f t="shared" si="0"/>
        <v>7.3913043478260896</v>
      </c>
      <c r="AA28" s="104"/>
    </row>
    <row r="29" spans="2:27" x14ac:dyDescent="0.2">
      <c r="G29" s="18">
        <v>48</v>
      </c>
      <c r="H29" s="20"/>
      <c r="I29" s="20"/>
      <c r="J29" s="20">
        <f t="shared" si="1"/>
        <v>9.6428571428571441</v>
      </c>
      <c r="K29" s="21"/>
      <c r="L29" s="20">
        <f t="shared" si="6"/>
        <v>9.2307692307692317</v>
      </c>
      <c r="M29" s="33">
        <f t="shared" si="3"/>
        <v>1.785714285714286</v>
      </c>
      <c r="N29" s="45">
        <f t="shared" si="0"/>
        <v>8.4782608695652204</v>
      </c>
      <c r="AA29" s="104"/>
    </row>
    <row r="30" spans="2:27" ht="15" thickBot="1" x14ac:dyDescent="0.25">
      <c r="G30" s="18">
        <v>50</v>
      </c>
      <c r="H30" s="20"/>
      <c r="I30" s="20"/>
      <c r="J30" s="20">
        <f t="shared" si="1"/>
        <v>10.535714285714286</v>
      </c>
      <c r="K30" s="21"/>
      <c r="L30" s="20">
        <f t="shared" si="6"/>
        <v>10.192307692307693</v>
      </c>
      <c r="M30" s="33">
        <f t="shared" si="3"/>
        <v>2.3214285714285716</v>
      </c>
      <c r="N30" s="45">
        <f t="shared" si="0"/>
        <v>9.5652173913043512</v>
      </c>
      <c r="AA30" s="104"/>
    </row>
    <row r="31" spans="2:27" ht="15.75" thickBot="1" x14ac:dyDescent="0.25">
      <c r="B31" s="44" t="s">
        <v>19</v>
      </c>
      <c r="C31" s="42"/>
      <c r="D31" s="42"/>
      <c r="E31" s="43"/>
      <c r="G31" s="18">
        <v>52</v>
      </c>
      <c r="H31" s="20"/>
      <c r="I31" s="20"/>
      <c r="J31" s="20">
        <f t="shared" si="1"/>
        <v>11.428571428571429</v>
      </c>
      <c r="K31" s="21"/>
      <c r="L31" s="20">
        <f t="shared" si="6"/>
        <v>11.153846153846155</v>
      </c>
      <c r="M31" s="33">
        <f t="shared" si="3"/>
        <v>2.8571428571428572</v>
      </c>
      <c r="N31" s="45">
        <f t="shared" si="0"/>
        <v>10.652173913043482</v>
      </c>
      <c r="AA31" s="104"/>
    </row>
    <row r="32" spans="2:27" x14ac:dyDescent="0.2">
      <c r="B32" s="50" t="s">
        <v>13</v>
      </c>
      <c r="C32" s="51"/>
      <c r="D32" s="48"/>
      <c r="E32" s="49">
        <f>$E$7-$E$6</f>
        <v>46</v>
      </c>
      <c r="G32" s="18">
        <v>54</v>
      </c>
      <c r="H32" s="20"/>
      <c r="I32" s="20"/>
      <c r="J32" s="20">
        <f t="shared" si="1"/>
        <v>12.321428571428571</v>
      </c>
      <c r="K32" s="21"/>
      <c r="L32" s="20">
        <f t="shared" si="6"/>
        <v>12.115384615384617</v>
      </c>
      <c r="M32" s="33">
        <f t="shared" si="3"/>
        <v>3.3928571428571428</v>
      </c>
      <c r="N32" s="45">
        <f t="shared" si="0"/>
        <v>11.739130434782613</v>
      </c>
      <c r="AA32" s="104"/>
    </row>
    <row r="33" spans="2:27" x14ac:dyDescent="0.2">
      <c r="B33" s="36" t="s">
        <v>49</v>
      </c>
      <c r="C33" s="28"/>
      <c r="D33" s="29"/>
      <c r="E33" s="114">
        <f>$E$9-$E$8</f>
        <v>25</v>
      </c>
      <c r="G33" s="18">
        <v>56</v>
      </c>
      <c r="H33" s="20"/>
      <c r="I33" s="20"/>
      <c r="J33" s="20">
        <f t="shared" si="1"/>
        <v>13.214285714285714</v>
      </c>
      <c r="K33" s="21"/>
      <c r="L33" s="20">
        <f t="shared" si="6"/>
        <v>13.076923076923078</v>
      </c>
      <c r="M33" s="33">
        <f t="shared" si="3"/>
        <v>3.9285714285714284</v>
      </c>
      <c r="N33" s="45">
        <f t="shared" si="0"/>
        <v>12.826086956521744</v>
      </c>
      <c r="AA33" s="104"/>
    </row>
    <row r="34" spans="2:27" x14ac:dyDescent="0.2">
      <c r="B34" s="36" t="s">
        <v>14</v>
      </c>
      <c r="C34" s="28"/>
      <c r="D34" s="29"/>
      <c r="E34" s="37">
        <f>$E$33/$E$32*2</f>
        <v>1.0869565217391304</v>
      </c>
      <c r="G34" s="18">
        <v>58</v>
      </c>
      <c r="H34" s="20"/>
      <c r="I34" s="20"/>
      <c r="J34" s="20">
        <f t="shared" si="1"/>
        <v>14.107142857142856</v>
      </c>
      <c r="K34" s="21"/>
      <c r="L34" s="20">
        <f t="shared" si="6"/>
        <v>14.03846153846154</v>
      </c>
      <c r="M34" s="33">
        <f t="shared" si="3"/>
        <v>4.4642857142857144</v>
      </c>
      <c r="N34" s="45">
        <f t="shared" si="0"/>
        <v>13.913043478260875</v>
      </c>
      <c r="AA34" s="104"/>
    </row>
    <row r="35" spans="2:27" ht="15.75" thickBot="1" x14ac:dyDescent="0.25">
      <c r="B35" s="36"/>
      <c r="C35" s="28"/>
      <c r="D35" s="29"/>
      <c r="E35" s="37"/>
      <c r="G35" s="24">
        <v>60</v>
      </c>
      <c r="H35" s="25"/>
      <c r="I35" s="25"/>
      <c r="J35" s="26">
        <v>15</v>
      </c>
      <c r="K35" s="27"/>
      <c r="L35" s="26">
        <v>15</v>
      </c>
      <c r="M35" s="35">
        <v>5</v>
      </c>
      <c r="N35" s="46">
        <f t="shared" si="0"/>
        <v>15.000000000000005</v>
      </c>
      <c r="AA35" s="104"/>
    </row>
    <row r="36" spans="2:27" x14ac:dyDescent="0.2">
      <c r="B36" s="36" t="s">
        <v>18</v>
      </c>
      <c r="C36" s="28"/>
      <c r="D36" s="29"/>
      <c r="E36" s="37">
        <f>E6/2</f>
        <v>7</v>
      </c>
      <c r="G36" s="4"/>
      <c r="AA36" s="104"/>
    </row>
    <row r="37" spans="2:27" ht="15.75" thickBot="1" x14ac:dyDescent="0.3">
      <c r="B37" s="38" t="s">
        <v>17</v>
      </c>
      <c r="C37" s="39"/>
      <c r="D37" s="40"/>
      <c r="E37" s="41">
        <f>E8-(E36*E34)</f>
        <v>-17.608695652173914</v>
      </c>
      <c r="G37" s="52" t="s">
        <v>8</v>
      </c>
      <c r="H37" s="6">
        <f>(H20-H9)/(ROW(I20)-ROW(I9))</f>
        <v>2.2727272727272729</v>
      </c>
      <c r="I37" s="6">
        <f>(I27-I9)/(ROW(I27)-ROW(I9))</f>
        <v>1.3888888888888888</v>
      </c>
      <c r="J37" s="6">
        <f>(J35-J7)/(ROW(J35)-ROW(J7))</f>
        <v>0.8928571428571429</v>
      </c>
      <c r="K37" s="6">
        <f>(K18-K7)/(ROW(K18)-ROW(K7))</f>
        <v>2.2727272727272729</v>
      </c>
      <c r="L37" s="6">
        <f>(L35-L9)/(ROW(L35)-ROW(L9))</f>
        <v>0.96153846153846156</v>
      </c>
      <c r="M37" s="6">
        <f>(M35-M7)/(ROW(M35)-ROW(M7))</f>
        <v>0.5357142857142857</v>
      </c>
      <c r="AA37" s="104"/>
    </row>
    <row r="38" spans="2:27" x14ac:dyDescent="0.2">
      <c r="G38" s="4"/>
      <c r="AA38" s="104"/>
    </row>
    <row r="39" spans="2:27" x14ac:dyDescent="0.2">
      <c r="P39" s="4"/>
      <c r="AA39" s="104"/>
    </row>
    <row r="40" spans="2:27" x14ac:dyDescent="0.2">
      <c r="P40" s="115"/>
      <c r="AA40" s="104"/>
    </row>
    <row r="41" spans="2:27" x14ac:dyDescent="0.2">
      <c r="P41" s="116"/>
      <c r="AA41" s="104"/>
    </row>
    <row r="42" spans="2:27" x14ac:dyDescent="0.2">
      <c r="P42" s="116"/>
      <c r="AA42" s="104"/>
    </row>
    <row r="43" spans="2:27" x14ac:dyDescent="0.2">
      <c r="AA43" s="104"/>
    </row>
    <row r="44" spans="2:27" x14ac:dyDescent="0.2">
      <c r="AA44" s="104"/>
    </row>
    <row r="45" spans="2:27" x14ac:dyDescent="0.2">
      <c r="AA45" s="104"/>
    </row>
    <row r="46" spans="2:27" x14ac:dyDescent="0.2">
      <c r="AA46" s="104"/>
    </row>
    <row r="47" spans="2:27" x14ac:dyDescent="0.2">
      <c r="AA47" s="104"/>
    </row>
    <row r="48" spans="2:27" x14ac:dyDescent="0.2">
      <c r="AA48" s="104"/>
    </row>
    <row r="49" spans="1:27"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102"/>
    </row>
  </sheetData>
  <sheetProtection algorithmName="SHA-512" hashValue="x1VwZC41SeSIX5oY0tImjLi/HXIjoG5Ig0O1NZz4Po7AWnLLdnxO5/b0hp0woyROTe1PuQi2fjKNdUWY5zLrTQ==" saltValue="MTUe+Zb5+ZjAW+KdWc4Stw==" spinCount="100000" sheet="1" objects="1" scenarios="1" selectLockedCells="1"/>
  <phoneticPr fontId="4" type="noConversion"/>
  <conditionalFormatting sqref="B15:C18 B6:D9">
    <cfRule type="expression" dxfId="9" priority="6">
      <formula>$E$5=1</formula>
    </cfRule>
  </conditionalFormatting>
  <conditionalFormatting sqref="B14:D18">
    <cfRule type="expression" dxfId="8" priority="2">
      <formula>$E$5=1</formula>
    </cfRule>
  </conditionalFormatting>
  <conditionalFormatting sqref="E14:E16">
    <cfRule type="expression" dxfId="7" priority="5">
      <formula>$E$5=0</formula>
    </cfRule>
  </conditionalFormatting>
  <conditionalFormatting sqref="G5:G35">
    <cfRule type="expression" dxfId="6" priority="13">
      <formula>G5=$E$7</formula>
    </cfRule>
    <cfRule type="expression" dxfId="5" priority="14">
      <formula>G5=$E$6</formula>
    </cfRule>
  </conditionalFormatting>
  <conditionalFormatting sqref="N5:N35">
    <cfRule type="expression" dxfId="4" priority="15">
      <formula>AND(N5&lt;=$E$9,N5&gt;=$E$8)</formula>
    </cfRule>
    <cfRule type="expression" dxfId="3" priority="16">
      <formula>N5&lt;$E$8</formula>
    </cfRule>
    <cfRule type="expression" dxfId="2" priority="18">
      <formula>N5&gt;$E$9</formula>
    </cfRule>
    <cfRule type="expression" dxfId="1" priority="20">
      <formula>N5=$E$8</formula>
    </cfRule>
    <cfRule type="expression" dxfId="0" priority="21">
      <formula>N5=$E$9</formula>
    </cfRule>
  </conditionalFormatting>
  <dataValidations count="8">
    <dataValidation type="whole" allowBlank="1" showInputMessage="1" showErrorMessage="1" errorTitle="Ongeldige waarde ingevoerd!" error="Geldige waarden zijn 0 t/m 60 minuten." sqref="D15" xr:uid="{26851B01-889A-4436-828C-52A62D856CF2}">
      <formula1>0</formula1>
      <formula2>60</formula2>
    </dataValidation>
    <dataValidation type="whole" allowBlank="1" showInputMessage="1" showErrorMessage="1" errorTitle="Ongeldige waarde ingevoerd!" error="Geldige waarden zijn -30 t/m 0 ⁰C." sqref="E8" xr:uid="{9456DC8A-9CEF-40ED-ABAB-31C720C7D888}">
      <formula1>-30</formula1>
      <formula2>0</formula2>
    </dataValidation>
    <dataValidation type="decimal" allowBlank="1" showInputMessage="1" showErrorMessage="1" errorTitle="Ongeldige waarde ingevoerd!" error="Geldige waarden zijn 0 t/m 60 minuten." sqref="D16" xr:uid="{48426D54-48F1-48C4-A286-ACD7BBD72035}">
      <formula1>0</formula1>
      <formula2>60</formula2>
    </dataValidation>
    <dataValidation type="list" allowBlank="1" showInputMessage="1" showErrorMessage="1" errorTitle="Ongeldige waarde ingevoerd!" error="Geldige waarden zijn -10 t/m 0 graden." sqref="D17" xr:uid="{792B94B9-348E-4643-B288-DEEB3A6E2755}">
      <formula1>"-10,-9,-8,-7,-6,-5,-4,-3,-2,-1,0"</formula1>
    </dataValidation>
    <dataValidation type="whole" allowBlank="1" showInputMessage="1" showErrorMessage="1" errorTitle="Ongeldige waarde ingevoerd!" error="Geldige waarden zijn -30 t/m 0 ⁰C." sqref="E9" xr:uid="{625C3E5E-E2AA-492E-A59B-5096EAA9D8A2}">
      <formula1>-30</formula1>
      <formula2>20</formula2>
    </dataValidation>
    <dataValidation type="list" allowBlank="1" showInputMessage="1" showErrorMessage="1" errorTitle="Ongeldige waarde ingevoerd!" error="Geldige waarden zijn 0 en 1." sqref="E5" xr:uid="{1B6F41CE-1980-4C72-81A3-10C4A389CD7B}">
      <formula1>"0,1"</formula1>
    </dataValidation>
    <dataValidation type="list" allowBlank="1" showInputMessage="1" showErrorMessage="1" errorTitle="Ongeldige waarde ingevoerd!" error="Geldige waarden zijn -10 t/m 15 graden." sqref="D18" xr:uid="{CC7CFB63-96D2-4229-A5CA-7CD91BE8C88B}">
      <formula1>"-10,-9,-8,-7,-6,-5,-4,-3,-2,-1,0,1,2,3,4,5,6,7,8,9,10,11,12,13,14,15"</formula1>
    </dataValidation>
    <dataValidation type="whole" allowBlank="1" showInputMessage="1" showErrorMessage="1" errorTitle="Ongeldige waarde ingevoerd!" error="Geldige waarden zijn 1 t/m 60 minuten." sqref="E15" xr:uid="{4064C8B9-AB25-4653-9968-4D378561511C}">
      <formula1>1</formula1>
      <formula2>60</formula2>
    </dataValidation>
  </dataValidations>
  <printOptions horizontalCentered="1"/>
  <pageMargins left="0.70866141732283472" right="0.70866141732283472" top="0.74803149606299213" bottom="0.74803149606299213" header="0.31496062992125984" footer="0.31496062992125984"/>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Werkbladen</vt:lpstr>
      </vt:variant>
      <vt:variant>
        <vt:i4>2</vt:i4>
      </vt:variant>
      <vt:variant>
        <vt:lpstr>Grafieken</vt:lpstr>
      </vt:variant>
      <vt:variant>
        <vt:i4>2</vt:i4>
      </vt:variant>
      <vt:variant>
        <vt:lpstr>Benoemde bereiken</vt:lpstr>
      </vt:variant>
      <vt:variant>
        <vt:i4>7</vt:i4>
      </vt:variant>
    </vt:vector>
  </HeadingPairs>
  <TitlesOfParts>
    <vt:vector size="11" baseType="lpstr">
      <vt:lpstr>Ta stooklijnen</vt:lpstr>
      <vt:lpstr>Vertragingslijnen</vt:lpstr>
      <vt:lpstr>Grafiek stooklijnen</vt:lpstr>
      <vt:lpstr>Grafiek vertragingslijnen</vt:lpstr>
      <vt:lpstr>'Ta stooklijnen'!Afdrukbereik</vt:lpstr>
      <vt:lpstr>'Ta stooklijnen'!Stooklijn</vt:lpstr>
      <vt:lpstr>Tb_sensor</vt:lpstr>
      <vt:lpstr>'Ta stooklijnen'!Tbuiten</vt:lpstr>
      <vt:lpstr>'Ta stooklijnen'!Tk_gewenst</vt:lpstr>
      <vt:lpstr>'Ta stooklijnen'!Tvoetpunt</vt:lpstr>
      <vt:lpstr>'Ta stooklijnen'!Voetpunt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Frans</dc:creator>
  <cp:lastModifiedBy>Frans</cp:lastModifiedBy>
  <cp:lastPrinted>2024-01-18T12:22:31Z</cp:lastPrinted>
  <dcterms:created xsi:type="dcterms:W3CDTF">2022-10-20T13:09:53Z</dcterms:created>
  <dcterms:modified xsi:type="dcterms:W3CDTF">2026-01-12T11:45:43Z</dcterms:modified>
</cp:coreProperties>
</file>